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pfezof\Dropbox\THESIS ANE\binding\"/>
    </mc:Choice>
  </mc:AlternateContent>
  <bookViews>
    <workbookView xWindow="0" yWindow="0" windowWidth="28800" windowHeight="12300" activeTab="2"/>
  </bookViews>
  <sheets>
    <sheet name="Setting-up conditions" sheetId="6" r:id="rId1"/>
    <sheet name="TESTER-ABSORBANCE" sheetId="1" r:id="rId2"/>
    <sheet name="EXPERIMENTAL CONDITIONS" sheetId="2" r:id="rId3"/>
    <sheet name="REAL CONDITIONS" sheetId="3" r:id="rId4"/>
    <sheet name="UV-vis results" sheetId="4" r:id="rId5"/>
    <sheet name="bindfit input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3" i="3"/>
  <c r="B44" i="6"/>
  <c r="S37" i="6"/>
  <c r="S28" i="6"/>
  <c r="S26" i="6"/>
  <c r="S24" i="6"/>
  <c r="AN23" i="6"/>
  <c r="AM23" i="6"/>
  <c r="AL23" i="6" s="1"/>
  <c r="AF23" i="6"/>
  <c r="AE23" i="6" s="1"/>
  <c r="X23" i="6"/>
  <c r="AM22" i="6"/>
  <c r="AL22" i="6"/>
  <c r="AF22" i="6"/>
  <c r="X22" i="6"/>
  <c r="S22" i="6"/>
  <c r="AN21" i="6"/>
  <c r="AM21" i="6"/>
  <c r="AL21" i="6" s="1"/>
  <c r="AF21" i="6"/>
  <c r="AE21" i="6"/>
  <c r="X21" i="6"/>
  <c r="AM20" i="6"/>
  <c r="AL20" i="6"/>
  <c r="AF20" i="6"/>
  <c r="X20" i="6"/>
  <c r="S20" i="6"/>
  <c r="AN19" i="6"/>
  <c r="AM19" i="6"/>
  <c r="AL19" i="6" s="1"/>
  <c r="AF19" i="6"/>
  <c r="AE19" i="6"/>
  <c r="X19" i="6"/>
  <c r="AM18" i="6"/>
  <c r="AL18" i="6"/>
  <c r="AF18" i="6"/>
  <c r="X18" i="6"/>
  <c r="AN17" i="6"/>
  <c r="AM17" i="6"/>
  <c r="AL17" i="6" s="1"/>
  <c r="AF17" i="6"/>
  <c r="AE17" i="6"/>
  <c r="X17" i="6"/>
  <c r="AM16" i="6"/>
  <c r="AL16" i="6" s="1"/>
  <c r="AF16" i="6"/>
  <c r="X16" i="6"/>
  <c r="S16" i="6"/>
  <c r="AN15" i="6"/>
  <c r="AM15" i="6"/>
  <c r="AL15" i="6" s="1"/>
  <c r="AF15" i="6"/>
  <c r="X15" i="6"/>
  <c r="Q15" i="6"/>
  <c r="R15" i="6" s="1"/>
  <c r="U15" i="6" s="1"/>
  <c r="N15" i="6"/>
  <c r="AN14" i="6"/>
  <c r="AM14" i="6"/>
  <c r="AL14" i="6"/>
  <c r="AF14" i="6"/>
  <c r="X14" i="6"/>
  <c r="S14" i="6"/>
  <c r="R14" i="6"/>
  <c r="U14" i="6" s="1"/>
  <c r="AO10" i="6"/>
  <c r="AP22" i="6" s="1"/>
  <c r="AM10" i="6"/>
  <c r="AF10" i="6"/>
  <c r="AE16" i="6" s="1"/>
  <c r="AA10" i="6"/>
  <c r="Z23" i="6" s="1"/>
  <c r="A6" i="6"/>
  <c r="A7" i="6" s="1"/>
  <c r="B5" i="6"/>
  <c r="A5" i="6"/>
  <c r="B4" i="6"/>
  <c r="A8" i="6" l="1"/>
  <c r="B7" i="6"/>
  <c r="Z17" i="6"/>
  <c r="S30" i="6"/>
  <c r="S32" i="6"/>
  <c r="S40" i="6"/>
  <c r="AB14" i="6"/>
  <c r="AA17" i="6"/>
  <c r="AO17" i="6"/>
  <c r="S35" i="6"/>
  <c r="S43" i="6"/>
  <c r="S38" i="6"/>
  <c r="Z15" i="6"/>
  <c r="AB18" i="6"/>
  <c r="S33" i="6"/>
  <c r="S41" i="6"/>
  <c r="AP17" i="6"/>
  <c r="B6" i="6"/>
  <c r="AO15" i="6"/>
  <c r="AQ15" i="6" s="1"/>
  <c r="AR15" i="6" s="1"/>
  <c r="AA22" i="6"/>
  <c r="AO23" i="6"/>
  <c r="S25" i="6"/>
  <c r="S27" i="6"/>
  <c r="S29" i="6"/>
  <c r="S31" i="6"/>
  <c r="S36" i="6"/>
  <c r="AA18" i="6"/>
  <c r="AE20" i="6"/>
  <c r="AH10" i="6"/>
  <c r="AE22" i="6"/>
  <c r="AE14" i="6"/>
  <c r="T14" i="6"/>
  <c r="V14" i="6" s="1"/>
  <c r="AE15" i="6"/>
  <c r="AP15" i="6"/>
  <c r="AA16" i="6"/>
  <c r="Z19" i="6"/>
  <c r="AO19" i="6"/>
  <c r="AA20" i="6"/>
  <c r="AO21" i="6"/>
  <c r="AQ21" i="6" s="1"/>
  <c r="AR21" i="6" s="1"/>
  <c r="AB22" i="6"/>
  <c r="AP23" i="6"/>
  <c r="S39" i="6"/>
  <c r="Q16" i="6"/>
  <c r="Z22" i="6"/>
  <c r="Z20" i="6"/>
  <c r="Z18" i="6"/>
  <c r="Z16" i="6"/>
  <c r="AA14" i="6"/>
  <c r="AC14" i="6" s="1"/>
  <c r="AD14" i="6" s="1"/>
  <c r="Z14" i="6"/>
  <c r="AB23" i="6"/>
  <c r="AB21" i="6"/>
  <c r="AB19" i="6"/>
  <c r="AB17" i="6"/>
  <c r="AB15" i="6"/>
  <c r="AA23" i="6"/>
  <c r="AA21" i="6"/>
  <c r="AC21" i="6" s="1"/>
  <c r="AD21" i="6" s="1"/>
  <c r="AA15" i="6"/>
  <c r="AC15" i="6" s="1"/>
  <c r="AD15" i="6" s="1"/>
  <c r="S44" i="6"/>
  <c r="S45" i="6"/>
  <c r="T15" i="6"/>
  <c r="V15" i="6" s="1"/>
  <c r="S23" i="6"/>
  <c r="S21" i="6"/>
  <c r="S19" i="6"/>
  <c r="S17" i="6"/>
  <c r="S15" i="6"/>
  <c r="AB16" i="6"/>
  <c r="S18" i="6"/>
  <c r="AE18" i="6"/>
  <c r="AA19" i="6"/>
  <c r="AC19" i="6" s="1"/>
  <c r="AD19" i="6" s="1"/>
  <c r="AP19" i="6"/>
  <c r="AB20" i="6"/>
  <c r="Z21" i="6"/>
  <c r="AP21" i="6"/>
  <c r="S34" i="6"/>
  <c r="S42" i="6"/>
  <c r="AO14" i="6"/>
  <c r="AQ14" i="6" s="1"/>
  <c r="AR14" i="6" s="1"/>
  <c r="AN16" i="6"/>
  <c r="AN18" i="6"/>
  <c r="AN20" i="6"/>
  <c r="AN22" i="6"/>
  <c r="AP14" i="6"/>
  <c r="AO16" i="6"/>
  <c r="AO18" i="6"/>
  <c r="AO20" i="6"/>
  <c r="AQ20" i="6" s="1"/>
  <c r="AR20" i="6" s="1"/>
  <c r="AO22" i="6"/>
  <c r="AQ22" i="6" s="1"/>
  <c r="AR22" i="6" s="1"/>
  <c r="AP16" i="6"/>
  <c r="AP18" i="6"/>
  <c r="AP20" i="6"/>
  <c r="AC20" i="6" l="1"/>
  <c r="AD20" i="6" s="1"/>
  <c r="AQ19" i="6"/>
  <c r="AR19" i="6" s="1"/>
  <c r="AQ18" i="6"/>
  <c r="AR18" i="6" s="1"/>
  <c r="AC23" i="6"/>
  <c r="AD23" i="6" s="1"/>
  <c r="AH22" i="6"/>
  <c r="AH20" i="6"/>
  <c r="AJ20" i="6" s="1"/>
  <c r="AK20" i="6" s="1"/>
  <c r="AH18" i="6"/>
  <c r="AJ18" i="6" s="1"/>
  <c r="AK18" i="6" s="1"/>
  <c r="AH16" i="6"/>
  <c r="AJ16" i="6" s="1"/>
  <c r="AK16" i="6" s="1"/>
  <c r="AI14" i="6"/>
  <c r="AG22" i="6"/>
  <c r="AG20" i="6"/>
  <c r="AG18" i="6"/>
  <c r="AG16" i="6"/>
  <c r="AH14" i="6"/>
  <c r="AI19" i="6"/>
  <c r="AG14" i="6"/>
  <c r="AI23" i="6"/>
  <c r="AI21" i="6"/>
  <c r="AI17" i="6"/>
  <c r="AH17" i="6"/>
  <c r="AG17" i="6"/>
  <c r="AI16" i="6"/>
  <c r="AH19" i="6"/>
  <c r="AJ19" i="6" s="1"/>
  <c r="AK19" i="6" s="1"/>
  <c r="AG15" i="6"/>
  <c r="AH21" i="6"/>
  <c r="AI20" i="6"/>
  <c r="AH23" i="6"/>
  <c r="AI22" i="6"/>
  <c r="AG21" i="6"/>
  <c r="AG19" i="6"/>
  <c r="AI15" i="6"/>
  <c r="AG23" i="6"/>
  <c r="AI18" i="6"/>
  <c r="AH15" i="6"/>
  <c r="AQ16" i="6"/>
  <c r="AR16" i="6" s="1"/>
  <c r="AC16" i="6"/>
  <c r="AD16" i="6" s="1"/>
  <c r="AC18" i="6"/>
  <c r="AD18" i="6" s="1"/>
  <c r="AQ17" i="6"/>
  <c r="AR17" i="6" s="1"/>
  <c r="AQ23" i="6"/>
  <c r="AR23" i="6" s="1"/>
  <c r="AC17" i="6"/>
  <c r="AD17" i="6" s="1"/>
  <c r="A9" i="6"/>
  <c r="B8" i="6"/>
  <c r="Q17" i="6"/>
  <c r="R16" i="6"/>
  <c r="AC22" i="6"/>
  <c r="AD22" i="6" s="1"/>
  <c r="AJ14" i="6" l="1"/>
  <c r="AK14" i="6" s="1"/>
  <c r="AJ22" i="6"/>
  <c r="AK22" i="6" s="1"/>
  <c r="T16" i="6"/>
  <c r="U16" i="6"/>
  <c r="AJ17" i="6"/>
  <c r="AK17" i="6" s="1"/>
  <c r="R17" i="6"/>
  <c r="Q18" i="6"/>
  <c r="AJ23" i="6"/>
  <c r="AK23" i="6" s="1"/>
  <c r="AJ15" i="6"/>
  <c r="AK15" i="6" s="1"/>
  <c r="B9" i="6"/>
  <c r="A10" i="6"/>
  <c r="AJ21" i="6"/>
  <c r="AK21" i="6" s="1"/>
  <c r="V16" i="6" l="1"/>
  <c r="R18" i="6"/>
  <c r="Q19" i="6"/>
  <c r="U17" i="6"/>
  <c r="T17" i="6"/>
  <c r="V17" i="6" s="1"/>
  <c r="A11" i="6"/>
  <c r="B10" i="6"/>
  <c r="B11" i="6" l="1"/>
  <c r="A12" i="6"/>
  <c r="T18" i="6"/>
  <c r="U18" i="6"/>
  <c r="R19" i="6"/>
  <c r="Q20" i="6"/>
  <c r="Q21" i="6" l="1"/>
  <c r="R20" i="6"/>
  <c r="A13" i="6"/>
  <c r="B12" i="6"/>
  <c r="U19" i="6"/>
  <c r="T19" i="6"/>
  <c r="V19" i="6" s="1"/>
  <c r="V18" i="6"/>
  <c r="A14" i="6" l="1"/>
  <c r="B13" i="6"/>
  <c r="T20" i="6"/>
  <c r="V20" i="6" s="1"/>
  <c r="U20" i="6"/>
  <c r="R21" i="6"/>
  <c r="Q22" i="6"/>
  <c r="Q23" i="6" l="1"/>
  <c r="R22" i="6"/>
  <c r="U21" i="6"/>
  <c r="T21" i="6"/>
  <c r="V21" i="6" s="1"/>
  <c r="B14" i="6"/>
  <c r="A15" i="6"/>
  <c r="A16" i="6" l="1"/>
  <c r="B15" i="6"/>
  <c r="T22" i="6"/>
  <c r="U22" i="6"/>
  <c r="R23" i="6"/>
  <c r="Q24" i="6"/>
  <c r="R24" i="6" l="1"/>
  <c r="Q25" i="6"/>
  <c r="U23" i="6"/>
  <c r="T23" i="6"/>
  <c r="V23" i="6" s="1"/>
  <c r="V22" i="6"/>
  <c r="B16" i="6"/>
  <c r="A17" i="6"/>
  <c r="Q26" i="6" l="1"/>
  <c r="R25" i="6"/>
  <c r="A18" i="6"/>
  <c r="B17" i="6"/>
  <c r="U24" i="6"/>
  <c r="T24" i="6"/>
  <c r="V24" i="6" s="1"/>
  <c r="B18" i="6" l="1"/>
  <c r="A19" i="6"/>
  <c r="T25" i="6"/>
  <c r="U25" i="6"/>
  <c r="Q27" i="6"/>
  <c r="R26" i="6"/>
  <c r="Q28" i="6" l="1"/>
  <c r="R27" i="6"/>
  <c r="A20" i="6"/>
  <c r="B19" i="6"/>
  <c r="T26" i="6"/>
  <c r="V26" i="6" s="1"/>
  <c r="U26" i="6"/>
  <c r="V25" i="6"/>
  <c r="B20" i="6" l="1"/>
  <c r="A21" i="6"/>
  <c r="U27" i="6"/>
  <c r="T27" i="6"/>
  <c r="V27" i="6" s="1"/>
  <c r="R28" i="6"/>
  <c r="Q29" i="6"/>
  <c r="Q30" i="6" l="1"/>
  <c r="R29" i="6"/>
  <c r="U28" i="6"/>
  <c r="T28" i="6"/>
  <c r="V28" i="6" s="1"/>
  <c r="A22" i="6"/>
  <c r="B21" i="6"/>
  <c r="B22" i="6" l="1"/>
  <c r="A23" i="6"/>
  <c r="U29" i="6"/>
  <c r="T29" i="6"/>
  <c r="V29" i="6" s="1"/>
  <c r="Q31" i="6"/>
  <c r="R30" i="6"/>
  <c r="U30" i="6" l="1"/>
  <c r="T30" i="6"/>
  <c r="V30" i="6" s="1"/>
  <c r="Q32" i="6"/>
  <c r="R31" i="6"/>
  <c r="A24" i="6"/>
  <c r="B23" i="6"/>
  <c r="Q33" i="6" l="1"/>
  <c r="R32" i="6"/>
  <c r="B24" i="6"/>
  <c r="A25" i="6"/>
  <c r="U31" i="6"/>
  <c r="T31" i="6"/>
  <c r="V31" i="6" s="1"/>
  <c r="B25" i="6" l="1"/>
  <c r="A26" i="6"/>
  <c r="U32" i="6"/>
  <c r="T32" i="6"/>
  <c r="V32" i="6" s="1"/>
  <c r="Q34" i="6"/>
  <c r="R33" i="6"/>
  <c r="Q35" i="6" l="1"/>
  <c r="R34" i="6"/>
  <c r="U33" i="6"/>
  <c r="T33" i="6"/>
  <c r="V33" i="6" s="1"/>
  <c r="B26" i="6"/>
  <c r="A27" i="6"/>
  <c r="B27" i="6" l="1"/>
  <c r="A28" i="6"/>
  <c r="T34" i="6"/>
  <c r="U34" i="6"/>
  <c r="Q36" i="6"/>
  <c r="R35" i="6"/>
  <c r="Q37" i="6" l="1"/>
  <c r="R36" i="6"/>
  <c r="B28" i="6"/>
  <c r="A29" i="6"/>
  <c r="T35" i="6"/>
  <c r="U35" i="6"/>
  <c r="V34" i="6"/>
  <c r="V35" i="6" l="1"/>
  <c r="B29" i="6"/>
  <c r="A30" i="6"/>
  <c r="U36" i="6"/>
  <c r="T36" i="6"/>
  <c r="V36" i="6" s="1"/>
  <c r="Q38" i="6"/>
  <c r="R37" i="6"/>
  <c r="Q39" i="6" l="1"/>
  <c r="R38" i="6"/>
  <c r="U37" i="6"/>
  <c r="T37" i="6"/>
  <c r="V37" i="6" s="1"/>
  <c r="B30" i="6"/>
  <c r="A31" i="6"/>
  <c r="B31" i="6" l="1"/>
  <c r="A32" i="6"/>
  <c r="U38" i="6"/>
  <c r="T38" i="6"/>
  <c r="V38" i="6" s="1"/>
  <c r="Q40" i="6"/>
  <c r="R39" i="6"/>
  <c r="U39" i="6" l="1"/>
  <c r="T39" i="6"/>
  <c r="V39" i="6" s="1"/>
  <c r="Q41" i="6"/>
  <c r="R40" i="6"/>
  <c r="B32" i="6"/>
  <c r="A33" i="6"/>
  <c r="B33" i="6" l="1"/>
  <c r="A34" i="6"/>
  <c r="U40" i="6"/>
  <c r="T40" i="6"/>
  <c r="V40" i="6" s="1"/>
  <c r="Q42" i="6"/>
  <c r="R41" i="6"/>
  <c r="Q43" i="6" l="1"/>
  <c r="R42" i="6"/>
  <c r="B34" i="6"/>
  <c r="A35" i="6"/>
  <c r="T41" i="6"/>
  <c r="V41" i="6" s="1"/>
  <c r="U41" i="6"/>
  <c r="T42" i="6" l="1"/>
  <c r="U42" i="6"/>
  <c r="B35" i="6"/>
  <c r="A36" i="6"/>
  <c r="Q44" i="6"/>
  <c r="R43" i="6"/>
  <c r="R44" i="6" l="1"/>
  <c r="Q45" i="6"/>
  <c r="R45" i="6" s="1"/>
  <c r="U43" i="6"/>
  <c r="T43" i="6"/>
  <c r="V43" i="6" s="1"/>
  <c r="B36" i="6"/>
  <c r="A37" i="6"/>
  <c r="V42" i="6"/>
  <c r="B37" i="6" l="1"/>
  <c r="A38" i="6"/>
  <c r="T45" i="6"/>
  <c r="V45" i="6" s="1"/>
  <c r="U45" i="6"/>
  <c r="U44" i="6"/>
  <c r="T44" i="6"/>
  <c r="V44" i="6" s="1"/>
  <c r="B38" i="6" l="1"/>
  <c r="A39" i="6"/>
  <c r="B39" i="6" l="1"/>
  <c r="A40" i="6"/>
  <c r="B40" i="6" l="1"/>
  <c r="A41" i="6"/>
  <c r="B41" i="6" l="1"/>
  <c r="A42" i="6"/>
  <c r="B42" i="6" l="1"/>
  <c r="A43" i="6"/>
  <c r="B43" i="6" s="1"/>
  <c r="A10" i="5" l="1"/>
  <c r="C37" i="3"/>
  <c r="B37" i="3"/>
  <c r="B36" i="3"/>
  <c r="F35" i="3"/>
  <c r="F36" i="3" s="1"/>
  <c r="F37" i="3" s="1"/>
  <c r="E35" i="3"/>
  <c r="B31" i="3"/>
  <c r="F30" i="3"/>
  <c r="E30" i="3" s="1"/>
  <c r="D30" i="3" s="1"/>
  <c r="C30" i="3" s="1"/>
  <c r="B30" i="3"/>
  <c r="S23" i="3"/>
  <c r="A13" i="5" s="1"/>
  <c r="M23" i="3"/>
  <c r="K23" i="3"/>
  <c r="J23" i="3"/>
  <c r="G23" i="3"/>
  <c r="S22" i="3"/>
  <c r="I37" i="3" s="1"/>
  <c r="M22" i="3"/>
  <c r="K22" i="3"/>
  <c r="J22" i="3"/>
  <c r="G22" i="3"/>
  <c r="S21" i="3"/>
  <c r="I36" i="3" s="1"/>
  <c r="M21" i="3"/>
  <c r="L21" i="3"/>
  <c r="J21" i="3"/>
  <c r="G21" i="3"/>
  <c r="S20" i="3"/>
  <c r="I35" i="3" s="1"/>
  <c r="M20" i="3"/>
  <c r="L20" i="3"/>
  <c r="J20" i="3"/>
  <c r="G20" i="3"/>
  <c r="S19" i="3"/>
  <c r="A9" i="5" s="1"/>
  <c r="M19" i="3"/>
  <c r="L19" i="3"/>
  <c r="J19" i="3"/>
  <c r="G19" i="3"/>
  <c r="S18" i="3"/>
  <c r="A8" i="5" s="1"/>
  <c r="M18" i="3"/>
  <c r="L18" i="3"/>
  <c r="J18" i="3"/>
  <c r="G18" i="3"/>
  <c r="S17" i="3"/>
  <c r="A7" i="5" s="1"/>
  <c r="M17" i="3"/>
  <c r="L17" i="3"/>
  <c r="K17" i="3"/>
  <c r="G17" i="3"/>
  <c r="S16" i="3"/>
  <c r="A6" i="5" s="1"/>
  <c r="M16" i="3"/>
  <c r="L16" i="3"/>
  <c r="K16" i="3"/>
  <c r="G16" i="3"/>
  <c r="S15" i="3"/>
  <c r="A5" i="5" s="1"/>
  <c r="M15" i="3"/>
  <c r="L15" i="3"/>
  <c r="K15" i="3"/>
  <c r="G15" i="3"/>
  <c r="S14" i="3"/>
  <c r="I29" i="3" s="1"/>
  <c r="M14" i="3"/>
  <c r="L14" i="3"/>
  <c r="K14" i="3"/>
  <c r="G14" i="3"/>
  <c r="S13" i="3"/>
  <c r="A3" i="5" s="1"/>
  <c r="M13" i="3"/>
  <c r="L13" i="3"/>
  <c r="K13" i="3"/>
  <c r="G13" i="3"/>
  <c r="S12" i="3"/>
  <c r="I27" i="3" s="1"/>
  <c r="M12" i="3"/>
  <c r="L12" i="3"/>
  <c r="K12" i="3"/>
  <c r="G12" i="3"/>
  <c r="F12" i="3"/>
  <c r="M11" i="3"/>
  <c r="L11" i="3"/>
  <c r="K11" i="3"/>
  <c r="J11" i="3"/>
  <c r="I11" i="3"/>
  <c r="H11" i="3"/>
  <c r="G11" i="3"/>
  <c r="N10" i="3"/>
  <c r="C9" i="3"/>
  <c r="B9" i="3"/>
  <c r="B8" i="3"/>
  <c r="B7" i="3"/>
  <c r="B6" i="3"/>
  <c r="B4" i="3"/>
  <c r="F37" i="2"/>
  <c r="C37" i="2"/>
  <c r="B37" i="2"/>
  <c r="F36" i="2"/>
  <c r="B36" i="2"/>
  <c r="F35" i="2"/>
  <c r="E35" i="2"/>
  <c r="E31" i="2"/>
  <c r="D31" i="2"/>
  <c r="C31" i="2"/>
  <c r="B31" i="2"/>
  <c r="F30" i="2"/>
  <c r="F31" i="2" s="1"/>
  <c r="E30" i="2"/>
  <c r="D30" i="2"/>
  <c r="C30" i="2"/>
  <c r="B30" i="2"/>
  <c r="H27" i="2"/>
  <c r="T23" i="2"/>
  <c r="M23" i="2"/>
  <c r="L23" i="3" s="1"/>
  <c r="D23" i="2"/>
  <c r="E23" i="2" s="1"/>
  <c r="T22" i="2"/>
  <c r="J22" i="2"/>
  <c r="E22" i="2"/>
  <c r="H22" i="2" s="1"/>
  <c r="D22" i="2"/>
  <c r="T21" i="2"/>
  <c r="D21" i="2"/>
  <c r="E21" i="2" s="1"/>
  <c r="T20" i="2"/>
  <c r="I20" i="2"/>
  <c r="D20" i="2"/>
  <c r="E20" i="2" s="1"/>
  <c r="T19" i="2"/>
  <c r="J19" i="2"/>
  <c r="H19" i="2"/>
  <c r="G19" i="2"/>
  <c r="F19" i="2"/>
  <c r="E19" i="2"/>
  <c r="L19" i="2" s="1"/>
  <c r="K19" i="3" s="1"/>
  <c r="D19" i="2"/>
  <c r="T18" i="2"/>
  <c r="I18" i="2"/>
  <c r="G18" i="2"/>
  <c r="F18" i="2"/>
  <c r="E18" i="2"/>
  <c r="D18" i="2"/>
  <c r="T17" i="2"/>
  <c r="E17" i="2"/>
  <c r="D17" i="2"/>
  <c r="T16" i="2"/>
  <c r="D16" i="2"/>
  <c r="E16" i="2" s="1"/>
  <c r="T15" i="2"/>
  <c r="K15" i="2"/>
  <c r="J15" i="3" s="1"/>
  <c r="D15" i="2"/>
  <c r="E15" i="2" s="1"/>
  <c r="T14" i="2"/>
  <c r="E14" i="2"/>
  <c r="J14" i="2" s="1"/>
  <c r="D14" i="2"/>
  <c r="T13" i="2"/>
  <c r="D13" i="2"/>
  <c r="E13" i="2" s="1"/>
  <c r="T12" i="2"/>
  <c r="D12" i="2"/>
  <c r="E12" i="2" s="1"/>
  <c r="N11" i="2"/>
  <c r="M11" i="2"/>
  <c r="L11" i="2"/>
  <c r="K11" i="2"/>
  <c r="E11" i="2"/>
  <c r="D11" i="2"/>
  <c r="C11" i="2"/>
  <c r="O10" i="2"/>
  <c r="N10" i="2"/>
  <c r="M10" i="2"/>
  <c r="L10" i="2"/>
  <c r="K10" i="2"/>
  <c r="J10" i="2"/>
  <c r="C9" i="2"/>
  <c r="B9" i="2"/>
  <c r="B8" i="2"/>
  <c r="B7" i="2"/>
  <c r="B6" i="2"/>
  <c r="B4" i="2"/>
  <c r="V59" i="1"/>
  <c r="U59" i="1"/>
  <c r="Q59" i="1"/>
  <c r="O59" i="1"/>
  <c r="M27" i="1"/>
  <c r="E27" i="1"/>
  <c r="M26" i="1"/>
  <c r="M25" i="1"/>
  <c r="M24" i="1"/>
  <c r="M23" i="1"/>
  <c r="M22" i="1"/>
  <c r="M21" i="1"/>
  <c r="M20" i="1"/>
  <c r="M19" i="1"/>
  <c r="C19" i="1"/>
  <c r="M18" i="1"/>
  <c r="H18" i="1"/>
  <c r="C18" i="1"/>
  <c r="E18" i="1" s="1"/>
  <c r="C21" i="1" s="1"/>
  <c r="O17" i="1"/>
  <c r="N17" i="1"/>
  <c r="M17" i="1"/>
  <c r="I17" i="1"/>
  <c r="O60" i="1" s="1"/>
  <c r="H17" i="1"/>
  <c r="L17" i="1" s="1"/>
  <c r="E17" i="1"/>
  <c r="C17" i="1"/>
  <c r="E19" i="1" s="1"/>
  <c r="T16" i="1"/>
  <c r="P16" i="1"/>
  <c r="R59" i="1" s="1"/>
  <c r="L16" i="1"/>
  <c r="I16" i="1"/>
  <c r="E14" i="1"/>
  <c r="O13" i="1"/>
  <c r="W12" i="1"/>
  <c r="A12" i="5" l="1"/>
  <c r="I32" i="3"/>
  <c r="I33" i="3"/>
  <c r="I34" i="3"/>
  <c r="A2" i="5"/>
  <c r="A4" i="5"/>
  <c r="J16" i="2"/>
  <c r="I16" i="2"/>
  <c r="G16" i="2"/>
  <c r="H16" i="2"/>
  <c r="F16" i="2"/>
  <c r="K16" i="2"/>
  <c r="J16" i="3" s="1"/>
  <c r="C23" i="1"/>
  <c r="C25" i="1"/>
  <c r="C24" i="1"/>
  <c r="E24" i="1" s="1"/>
  <c r="G13" i="2"/>
  <c r="F13" i="2"/>
  <c r="K13" i="2"/>
  <c r="J13" i="3" s="1"/>
  <c r="H13" i="2"/>
  <c r="J13" i="2"/>
  <c r="G21" i="2"/>
  <c r="F21" i="2"/>
  <c r="L21" i="2"/>
  <c r="K21" i="3" s="1"/>
  <c r="H21" i="2"/>
  <c r="K17" i="2"/>
  <c r="J17" i="3" s="1"/>
  <c r="J17" i="2"/>
  <c r="I17" i="2"/>
  <c r="H17" i="2"/>
  <c r="G17" i="2"/>
  <c r="I13" i="2"/>
  <c r="F12" i="2"/>
  <c r="I12" i="3"/>
  <c r="J12" i="2"/>
  <c r="K12" i="2" s="1"/>
  <c r="G12" i="2"/>
  <c r="L18" i="1"/>
  <c r="H12" i="2"/>
  <c r="I21" i="2"/>
  <c r="M22" i="2"/>
  <c r="L22" i="3" s="1"/>
  <c r="I18" i="1"/>
  <c r="O61" i="1" s="1"/>
  <c r="I12" i="2"/>
  <c r="J21" i="2"/>
  <c r="N18" i="1"/>
  <c r="H19" i="1"/>
  <c r="I28" i="3"/>
  <c r="F17" i="2"/>
  <c r="C22" i="1"/>
  <c r="E21" i="1" s="1"/>
  <c r="I15" i="2"/>
  <c r="H15" i="2"/>
  <c r="G15" i="2"/>
  <c r="J15" i="2"/>
  <c r="F20" i="2"/>
  <c r="L20" i="2"/>
  <c r="K20" i="3" s="1"/>
  <c r="J20" i="2"/>
  <c r="G20" i="2"/>
  <c r="A11" i="5"/>
  <c r="R17" i="1"/>
  <c r="H14" i="2"/>
  <c r="G14" i="2"/>
  <c r="F14" i="2"/>
  <c r="I14" i="2"/>
  <c r="T59" i="1"/>
  <c r="S59" i="1"/>
  <c r="K14" i="2"/>
  <c r="J14" i="3" s="1"/>
  <c r="K17" i="1"/>
  <c r="Z17" i="1"/>
  <c r="J17" i="1"/>
  <c r="C20" i="1"/>
  <c r="F15" i="2"/>
  <c r="L18" i="2"/>
  <c r="K18" i="3" s="1"/>
  <c r="H20" i="2"/>
  <c r="I23" i="2"/>
  <c r="H23" i="2"/>
  <c r="G23" i="2"/>
  <c r="F23" i="2"/>
  <c r="J23" i="2"/>
  <c r="I31" i="3"/>
  <c r="I22" i="2"/>
  <c r="P17" i="1"/>
  <c r="P59" i="1"/>
  <c r="H18" i="2"/>
  <c r="I19" i="2"/>
  <c r="H12" i="3"/>
  <c r="J18" i="2"/>
  <c r="F22" i="2"/>
  <c r="I30" i="3"/>
  <c r="I38" i="3"/>
  <c r="G22" i="2"/>
  <c r="S17" i="1" l="1"/>
  <c r="Q17" i="1"/>
  <c r="U60" i="1"/>
  <c r="J12" i="3"/>
  <c r="O12" i="3" s="1"/>
  <c r="Q12" i="3" s="1"/>
  <c r="P12" i="2"/>
  <c r="K18" i="1"/>
  <c r="Z18" i="1"/>
  <c r="J18" i="1"/>
  <c r="I19" i="1"/>
  <c r="N19" i="1"/>
  <c r="H20" i="1"/>
  <c r="O62" i="1"/>
  <c r="L19" i="1"/>
  <c r="O19" i="1"/>
  <c r="E15" i="1"/>
  <c r="E20" i="1"/>
  <c r="I13" i="3"/>
  <c r="I14" i="3" s="1"/>
  <c r="O18" i="1"/>
  <c r="R18" i="1" s="1"/>
  <c r="T17" i="1"/>
  <c r="P60" i="1"/>
  <c r="Q60" i="1"/>
  <c r="R60" i="1" s="1"/>
  <c r="V60" i="1"/>
  <c r="E25" i="1"/>
  <c r="E22" i="1"/>
  <c r="E16" i="1"/>
  <c r="E23" i="1"/>
  <c r="S18" i="1" l="1"/>
  <c r="U61" i="1"/>
  <c r="P18" i="1"/>
  <c r="Q18" i="1"/>
  <c r="O13" i="3"/>
  <c r="P12" i="3"/>
  <c r="R12" i="3" s="1"/>
  <c r="T12" i="3"/>
  <c r="S60" i="1"/>
  <c r="H21" i="1"/>
  <c r="L20" i="1"/>
  <c r="I20" i="1"/>
  <c r="O63" i="1" s="1"/>
  <c r="R19" i="1"/>
  <c r="T60" i="1"/>
  <c r="I15" i="3"/>
  <c r="Q12" i="2"/>
  <c r="P13" i="2"/>
  <c r="U12" i="2"/>
  <c r="V12" i="2" s="1"/>
  <c r="R12" i="2"/>
  <c r="S12" i="2" s="1"/>
  <c r="X17" i="1"/>
  <c r="U17" i="1"/>
  <c r="Z19" i="1"/>
  <c r="J19" i="1"/>
  <c r="K19" i="1"/>
  <c r="P13" i="3" l="1"/>
  <c r="O14" i="3"/>
  <c r="U62" i="1"/>
  <c r="S19" i="1"/>
  <c r="P19" i="1"/>
  <c r="O21" i="1"/>
  <c r="L21" i="1"/>
  <c r="H22" i="1"/>
  <c r="I21" i="1"/>
  <c r="O64" i="1"/>
  <c r="S61" i="1"/>
  <c r="Q13" i="3"/>
  <c r="R13" i="3" s="1"/>
  <c r="P61" i="1"/>
  <c r="Q61" i="1"/>
  <c r="T61" i="1" s="1"/>
  <c r="V61" i="1"/>
  <c r="T18" i="1"/>
  <c r="K20" i="1"/>
  <c r="Z20" i="1"/>
  <c r="J20" i="1"/>
  <c r="Q19" i="1"/>
  <c r="Q13" i="2"/>
  <c r="P14" i="2"/>
  <c r="R13" i="2"/>
  <c r="S13" i="2" s="1"/>
  <c r="U13" i="2"/>
  <c r="V13" i="2" s="1"/>
  <c r="O20" i="1"/>
  <c r="T13" i="3"/>
  <c r="Y17" i="1"/>
  <c r="V17" i="1"/>
  <c r="I16" i="3"/>
  <c r="N20" i="1"/>
  <c r="R20" i="1" s="1"/>
  <c r="Q20" i="1" s="1"/>
  <c r="U12" i="3"/>
  <c r="K27" i="3" s="1"/>
  <c r="J27" i="3"/>
  <c r="B2" i="5"/>
  <c r="U13" i="3" l="1"/>
  <c r="K28" i="3" s="1"/>
  <c r="B3" i="5"/>
  <c r="J28" i="3"/>
  <c r="P62" i="1"/>
  <c r="V62" i="1"/>
  <c r="Q62" i="1"/>
  <c r="T62" i="1" s="1"/>
  <c r="T19" i="1"/>
  <c r="I17" i="3"/>
  <c r="U18" i="1"/>
  <c r="X18" i="1"/>
  <c r="Q14" i="2"/>
  <c r="P15" i="2"/>
  <c r="R14" i="2"/>
  <c r="U14" i="2"/>
  <c r="V14" i="2" s="1"/>
  <c r="K21" i="1"/>
  <c r="Z21" i="1"/>
  <c r="J21" i="1"/>
  <c r="I22" i="1"/>
  <c r="O22" i="1" s="1"/>
  <c r="N22" i="1"/>
  <c r="H23" i="1"/>
  <c r="O65" i="1"/>
  <c r="L22" i="1"/>
  <c r="P14" i="3"/>
  <c r="O15" i="3"/>
  <c r="Q14" i="3"/>
  <c r="T14" i="3"/>
  <c r="S20" i="1"/>
  <c r="U63" i="1"/>
  <c r="P20" i="1"/>
  <c r="R61" i="1"/>
  <c r="N21" i="1"/>
  <c r="R21" i="1" s="1"/>
  <c r="R14" i="3" l="1"/>
  <c r="U64" i="1"/>
  <c r="S21" i="1"/>
  <c r="P21" i="1"/>
  <c r="O16" i="3"/>
  <c r="P15" i="3"/>
  <c r="T15" i="3"/>
  <c r="Q15" i="3"/>
  <c r="R15" i="3" s="1"/>
  <c r="R62" i="1"/>
  <c r="V18" i="1"/>
  <c r="Y18" i="1"/>
  <c r="N23" i="1"/>
  <c r="H24" i="1"/>
  <c r="L23" i="1"/>
  <c r="I23" i="1"/>
  <c r="Q21" i="1"/>
  <c r="I18" i="3"/>
  <c r="T20" i="1"/>
  <c r="P63" i="1"/>
  <c r="V63" i="1"/>
  <c r="Q63" i="1"/>
  <c r="S62" i="1"/>
  <c r="R22" i="1"/>
  <c r="S14" i="2"/>
  <c r="J29" i="3"/>
  <c r="B4" i="5"/>
  <c r="U14" i="3"/>
  <c r="K29" i="3" s="1"/>
  <c r="K22" i="1"/>
  <c r="Z22" i="1"/>
  <c r="J22" i="1"/>
  <c r="Q22" i="1"/>
  <c r="Q15" i="2"/>
  <c r="P16" i="2"/>
  <c r="U15" i="2"/>
  <c r="V15" i="2" s="1"/>
  <c r="R15" i="2"/>
  <c r="S15" i="2" s="1"/>
  <c r="X19" i="1"/>
  <c r="U19" i="1"/>
  <c r="P16" i="3" l="1"/>
  <c r="O17" i="3"/>
  <c r="Q16" i="3"/>
  <c r="R16" i="3" s="1"/>
  <c r="T16" i="3"/>
  <c r="S63" i="1"/>
  <c r="T63" i="1"/>
  <c r="Z23" i="1"/>
  <c r="J23" i="1"/>
  <c r="K23" i="1"/>
  <c r="P17" i="2"/>
  <c r="Q16" i="2"/>
  <c r="U16" i="2"/>
  <c r="V16" i="2" s="1"/>
  <c r="R16" i="2"/>
  <c r="U20" i="1"/>
  <c r="X20" i="1"/>
  <c r="V19" i="1"/>
  <c r="Y19" i="1"/>
  <c r="B5" i="5"/>
  <c r="J30" i="3"/>
  <c r="U15" i="3"/>
  <c r="K30" i="3" s="1"/>
  <c r="O66" i="1"/>
  <c r="O23" i="1"/>
  <c r="R23" i="1" s="1"/>
  <c r="I19" i="3"/>
  <c r="I24" i="1"/>
  <c r="O24" i="1"/>
  <c r="H25" i="1"/>
  <c r="L24" i="1"/>
  <c r="R63" i="1"/>
  <c r="R64" i="1"/>
  <c r="P64" i="1"/>
  <c r="T21" i="1"/>
  <c r="V64" i="1"/>
  <c r="Q64" i="1"/>
  <c r="T64" i="1" s="1"/>
  <c r="S22" i="1"/>
  <c r="U65" i="1"/>
  <c r="P22" i="1"/>
  <c r="U66" i="1" l="1"/>
  <c r="S23" i="1"/>
  <c r="P23" i="1"/>
  <c r="Q23" i="1"/>
  <c r="X21" i="1"/>
  <c r="U21" i="1"/>
  <c r="U16" i="3"/>
  <c r="K31" i="3" s="1"/>
  <c r="B6" i="5"/>
  <c r="J31" i="3"/>
  <c r="P18" i="2"/>
  <c r="Q17" i="2"/>
  <c r="R17" i="2"/>
  <c r="S17" i="2" s="1"/>
  <c r="U17" i="2"/>
  <c r="V17" i="2" s="1"/>
  <c r="R65" i="1"/>
  <c r="P65" i="1"/>
  <c r="Q65" i="1"/>
  <c r="T22" i="1"/>
  <c r="V65" i="1"/>
  <c r="O18" i="3"/>
  <c r="P17" i="3"/>
  <c r="Q17" i="3"/>
  <c r="T17" i="3"/>
  <c r="Z24" i="1"/>
  <c r="K24" i="1"/>
  <c r="J24" i="1"/>
  <c r="L25" i="1"/>
  <c r="H26" i="1"/>
  <c r="O68" i="1"/>
  <c r="I25" i="1"/>
  <c r="O25" i="1"/>
  <c r="N24" i="1"/>
  <c r="R24" i="1" s="1"/>
  <c r="I20" i="3"/>
  <c r="S64" i="1"/>
  <c r="V20" i="1"/>
  <c r="Y20" i="1"/>
  <c r="O67" i="1"/>
  <c r="S16" i="2"/>
  <c r="V21" i="1" l="1"/>
  <c r="Y21" i="1"/>
  <c r="R17" i="3"/>
  <c r="I26" i="1"/>
  <c r="L26" i="1"/>
  <c r="O69" i="1"/>
  <c r="H27" i="1"/>
  <c r="U67" i="1"/>
  <c r="S24" i="1"/>
  <c r="P24" i="1"/>
  <c r="O19" i="3"/>
  <c r="P18" i="3"/>
  <c r="Q18" i="3"/>
  <c r="T18" i="3"/>
  <c r="P19" i="2"/>
  <c r="U18" i="2"/>
  <c r="V18" i="2" s="1"/>
  <c r="Q18" i="2"/>
  <c r="R18" i="2"/>
  <c r="S18" i="2" s="1"/>
  <c r="T23" i="1"/>
  <c r="P66" i="1"/>
  <c r="V66" i="1"/>
  <c r="Q66" i="1"/>
  <c r="T66" i="1" s="1"/>
  <c r="X22" i="1"/>
  <c r="U22" i="1"/>
  <c r="I21" i="3"/>
  <c r="J32" i="3"/>
  <c r="B7" i="5"/>
  <c r="U17" i="3"/>
  <c r="K32" i="3" s="1"/>
  <c r="K25" i="1"/>
  <c r="Z25" i="1"/>
  <c r="J25" i="1"/>
  <c r="S65" i="1"/>
  <c r="T65" i="1"/>
  <c r="N25" i="1"/>
  <c r="R25" i="1" s="1"/>
  <c r="Q25" i="1" s="1"/>
  <c r="Q24" i="1"/>
  <c r="R18" i="3" l="1"/>
  <c r="Q19" i="2"/>
  <c r="P20" i="2"/>
  <c r="R19" i="2"/>
  <c r="S19" i="2" s="1"/>
  <c r="U19" i="2"/>
  <c r="V19" i="2" s="1"/>
  <c r="Z26" i="1"/>
  <c r="K26" i="1"/>
  <c r="J26" i="1"/>
  <c r="S66" i="1"/>
  <c r="I22" i="3"/>
  <c r="V22" i="1"/>
  <c r="Y22" i="1"/>
  <c r="B8" i="5"/>
  <c r="U18" i="3"/>
  <c r="K33" i="3" s="1"/>
  <c r="J33" i="3"/>
  <c r="L27" i="1"/>
  <c r="I27" i="1"/>
  <c r="O27" i="1" s="1"/>
  <c r="O70" i="1"/>
  <c r="U23" i="1"/>
  <c r="X23" i="1"/>
  <c r="R66" i="1"/>
  <c r="N26" i="1"/>
  <c r="R26" i="1" s="1"/>
  <c r="P19" i="3"/>
  <c r="O20" i="3"/>
  <c r="Q19" i="3"/>
  <c r="T19" i="3"/>
  <c r="S25" i="1"/>
  <c r="U68" i="1"/>
  <c r="P25" i="1"/>
  <c r="P67" i="1"/>
  <c r="V67" i="1"/>
  <c r="Q67" i="1"/>
  <c r="T67" i="1" s="1"/>
  <c r="T24" i="1"/>
  <c r="O26" i="1"/>
  <c r="R19" i="3" l="1"/>
  <c r="U69" i="1"/>
  <c r="S26" i="1"/>
  <c r="P26" i="1"/>
  <c r="Q26" i="1"/>
  <c r="I23" i="3"/>
  <c r="B9" i="5"/>
  <c r="J34" i="3"/>
  <c r="U19" i="3"/>
  <c r="K34" i="3" s="1"/>
  <c r="O21" i="3"/>
  <c r="P20" i="3"/>
  <c r="Q20" i="3"/>
  <c r="R20" i="3" s="1"/>
  <c r="T20" i="3"/>
  <c r="Q20" i="2"/>
  <c r="P21" i="2"/>
  <c r="U20" i="2"/>
  <c r="V20" i="2" s="1"/>
  <c r="R20" i="2"/>
  <c r="S20" i="2" s="1"/>
  <c r="V23" i="1"/>
  <c r="Y23" i="1"/>
  <c r="X24" i="1"/>
  <c r="U24" i="1"/>
  <c r="K27" i="1"/>
  <c r="Z27" i="1"/>
  <c r="J27" i="1"/>
  <c r="R67" i="1"/>
  <c r="T25" i="1"/>
  <c r="P68" i="1"/>
  <c r="Q68" i="1"/>
  <c r="V68" i="1"/>
  <c r="S67" i="1"/>
  <c r="N27" i="1"/>
  <c r="R27" i="1" s="1"/>
  <c r="P21" i="3" l="1"/>
  <c r="O22" i="3"/>
  <c r="T21" i="3"/>
  <c r="Q21" i="3"/>
  <c r="R21" i="3" s="1"/>
  <c r="S27" i="1"/>
  <c r="U70" i="1"/>
  <c r="P27" i="1"/>
  <c r="Q27" i="1"/>
  <c r="P69" i="1"/>
  <c r="Q69" i="1"/>
  <c r="T69" i="1" s="1"/>
  <c r="V69" i="1"/>
  <c r="T26" i="1"/>
  <c r="S68" i="1"/>
  <c r="T68" i="1"/>
  <c r="Q21" i="2"/>
  <c r="P22" i="2"/>
  <c r="U21" i="2"/>
  <c r="V21" i="2" s="1"/>
  <c r="R21" i="2"/>
  <c r="S21" i="2" s="1"/>
  <c r="V24" i="1"/>
  <c r="Y24" i="1"/>
  <c r="X25" i="1"/>
  <c r="U25" i="1"/>
  <c r="R68" i="1"/>
  <c r="U20" i="3"/>
  <c r="K35" i="3" s="1"/>
  <c r="J35" i="3"/>
  <c r="B10" i="5"/>
  <c r="J36" i="3" l="1"/>
  <c r="U21" i="3"/>
  <c r="K36" i="3" s="1"/>
  <c r="B11" i="5"/>
  <c r="P22" i="3"/>
  <c r="O23" i="3"/>
  <c r="T22" i="3"/>
  <c r="Q22" i="3"/>
  <c r="R22" i="3" s="1"/>
  <c r="V25" i="1"/>
  <c r="Y25" i="1"/>
  <c r="T27" i="1"/>
  <c r="P70" i="1"/>
  <c r="V70" i="1"/>
  <c r="Q70" i="1"/>
  <c r="T70" i="1" s="1"/>
  <c r="S69" i="1"/>
  <c r="Q22" i="2"/>
  <c r="P23" i="2"/>
  <c r="U22" i="2"/>
  <c r="V22" i="2" s="1"/>
  <c r="R22" i="2"/>
  <c r="S22" i="2" s="1"/>
  <c r="R69" i="1"/>
  <c r="X26" i="1"/>
  <c r="U26" i="1"/>
  <c r="P23" i="3" l="1"/>
  <c r="T23" i="3"/>
  <c r="Q23" i="3"/>
  <c r="R23" i="3" s="1"/>
  <c r="U27" i="1"/>
  <c r="V29" i="1"/>
  <c r="X27" i="1"/>
  <c r="W13" i="1"/>
  <c r="B12" i="5"/>
  <c r="J37" i="3"/>
  <c r="U22" i="3"/>
  <c r="K37" i="3" s="1"/>
  <c r="Q23" i="2"/>
  <c r="U23" i="2"/>
  <c r="V23" i="2" s="1"/>
  <c r="R23" i="2"/>
  <c r="S23" i="2" s="1"/>
  <c r="V26" i="1"/>
  <c r="Y26" i="1"/>
  <c r="R70" i="1"/>
  <c r="S70" i="1"/>
  <c r="W17" i="1" l="1"/>
  <c r="W18" i="1"/>
  <c r="W19" i="1"/>
  <c r="W20" i="1"/>
  <c r="W21" i="1"/>
  <c r="W22" i="1"/>
  <c r="W23" i="1"/>
  <c r="W24" i="1"/>
  <c r="W25" i="1"/>
  <c r="W26" i="1"/>
  <c r="V30" i="1"/>
  <c r="X29" i="1"/>
  <c r="X30" i="1" s="1"/>
  <c r="V27" i="1"/>
  <c r="M48" i="1"/>
  <c r="M47" i="1"/>
  <c r="Y27" i="1"/>
  <c r="M49" i="1"/>
  <c r="M52" i="1" s="1"/>
  <c r="B13" i="5"/>
  <c r="J38" i="3"/>
  <c r="U23" i="3"/>
  <c r="K38" i="3" s="1"/>
  <c r="W27" i="1"/>
  <c r="F47" i="1" l="1"/>
  <c r="F49" i="1"/>
  <c r="F48" i="1"/>
  <c r="M51" i="1"/>
  <c r="M53" i="1" s="1"/>
  <c r="S48" i="1"/>
  <c r="S47" i="1"/>
  <c r="S49" i="1"/>
  <c r="S51" i="1" s="1"/>
  <c r="S52" i="1" s="1"/>
  <c r="F52" i="1" l="1"/>
  <c r="F51" i="1"/>
  <c r="F53" i="1" s="1"/>
</calcChain>
</file>

<file path=xl/sharedStrings.xml><?xml version="1.0" encoding="utf-8"?>
<sst xmlns="http://schemas.openxmlformats.org/spreadsheetml/2006/main" count="267" uniqueCount="153">
  <si>
    <t>INSTRUCTIONS</t>
  </si>
  <si>
    <t>note 1: Fill only gray cells! The rest will update automatically</t>
  </si>
  <si>
    <t xml:space="preserve">note 2: the pink area is a fast calculator to evaluate if your conditions are within the criteria to use Benesi-Hildebrand </t>
  </si>
  <si>
    <t>Insert data in gray cells and check the data you would get and the error you expect when using B-H approximation on this data</t>
  </si>
  <si>
    <t>At the bottom part several useful graphs are displayed</t>
  </si>
  <si>
    <t>K=x/(([H]0-x)-([H]0-x))</t>
  </si>
  <si>
    <t>eHG*[H]0</t>
  </si>
  <si>
    <t>condition for double reciprocal plot</t>
  </si>
  <si>
    <t>tester: fill gray cells to explore concentrations and K</t>
  </si>
  <si>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</si>
  <si>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Arial"/>
        <family val="2"/>
      </rPr>
      <t>HG</t>
    </r>
  </si>
  <si>
    <t>K</t>
  </si>
  <si>
    <t>eHG-eH</t>
  </si>
  <si>
    <t>Af-Ao=</t>
  </si>
  <si>
    <r>
      <t>K*[G]</t>
    </r>
    <r>
      <rPr>
        <vertAlign val="subscript"/>
        <sz val="11"/>
        <color rgb="FFC00000"/>
        <rFont val="Calibri"/>
        <family val="2"/>
        <scheme val="minor"/>
      </rPr>
      <t>0</t>
    </r>
    <r>
      <rPr>
        <sz val="11"/>
        <color rgb="FFC00000"/>
        <rFont val="Calibri"/>
        <family val="2"/>
        <scheme val="minor"/>
      </rPr>
      <t>&lt;0.1</t>
    </r>
  </si>
  <si>
    <t>[H]o+[G]0</t>
  </si>
  <si>
    <t>[H]0</t>
  </si>
  <si>
    <t>[H1]+[G1]+2*[HG1]</t>
  </si>
  <si>
    <t>eqiv</t>
  </si>
  <si>
    <r>
      <t>[H]</t>
    </r>
    <r>
      <rPr>
        <vertAlign val="subscript"/>
        <sz val="11"/>
        <color theme="1"/>
        <rFont val="Calibri"/>
        <family val="2"/>
        <scheme val="minor"/>
      </rPr>
      <t>0</t>
    </r>
  </si>
  <si>
    <r>
      <t>[G}</t>
    </r>
    <r>
      <rPr>
        <vertAlign val="subscript"/>
        <sz val="11"/>
        <color theme="1"/>
        <rFont val="Calibri"/>
        <family val="2"/>
        <scheme val="minor"/>
      </rPr>
      <t>0</t>
    </r>
  </si>
  <si>
    <r>
      <t>1/[G]</t>
    </r>
    <r>
      <rPr>
        <vertAlign val="subscript"/>
        <sz val="11"/>
        <color theme="1"/>
        <rFont val="Calibri"/>
        <family val="2"/>
        <scheme val="minor"/>
      </rPr>
      <t>0</t>
    </r>
  </si>
  <si>
    <r>
      <t>log[G]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</si>
  <si>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</si>
  <si>
    <t>a</t>
  </si>
  <si>
    <t>b</t>
  </si>
  <si>
    <t>c</t>
  </si>
  <si>
    <t>[H]</t>
  </si>
  <si>
    <t>[G]</t>
  </si>
  <si>
    <t>[HG]</t>
  </si>
  <si>
    <r>
      <t>A</t>
    </r>
    <r>
      <rPr>
        <vertAlign val="subscript"/>
        <sz val="11"/>
        <color theme="1"/>
        <rFont val="Calibri"/>
        <family val="2"/>
        <scheme val="minor"/>
      </rPr>
      <t>HG</t>
    </r>
  </si>
  <si>
    <r>
      <t>A</t>
    </r>
    <r>
      <rPr>
        <vertAlign val="subscript"/>
        <sz val="11"/>
        <color theme="1"/>
        <rFont val="Calibri"/>
        <family val="2"/>
        <scheme val="minor"/>
      </rPr>
      <t>obs</t>
    </r>
  </si>
  <si>
    <r>
      <t>1/(A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</si>
  <si>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log(1/(A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))</t>
    </r>
  </si>
  <si>
    <r>
      <t>log((A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)/(A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))</t>
    </r>
  </si>
  <si>
    <r>
      <t>log((A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)/(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*[H]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))</t>
    </r>
  </si>
  <si>
    <r>
      <t>[H]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/(A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</si>
  <si>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K*[G]</t>
    </r>
    <r>
      <rPr>
        <vertAlign val="subscript"/>
        <sz val="11"/>
        <color rgb="FFC00000"/>
        <rFont val="Calibri"/>
        <family val="2"/>
        <scheme val="minor"/>
      </rPr>
      <t>0</t>
    </r>
  </si>
  <si>
    <t>[G]0</t>
  </si>
  <si>
    <t>[H2]+[G2]+2*[HG2]</t>
  </si>
  <si>
    <t>1/(K*[H]0) (&gt;10)</t>
  </si>
  <si>
    <t>converted1=x1</t>
  </si>
  <si>
    <t>converted2=x2</t>
  </si>
  <si>
    <t>[H1]</t>
  </si>
  <si>
    <t>[H1]+[HG1]</t>
  </si>
  <si>
    <t>[G1]</t>
  </si>
  <si>
    <t>[G1]+[HG1]</t>
  </si>
  <si>
    <t>[HG1]</t>
  </si>
  <si>
    <t>K1</t>
  </si>
  <si>
    <t>[H2]</t>
  </si>
  <si>
    <t>[G2]</t>
  </si>
  <si>
    <t>[HG2]</t>
  </si>
  <si>
    <t>K2</t>
  </si>
  <si>
    <r>
      <t>K*G</t>
    </r>
    <r>
      <rPr>
        <vertAlign val="subscript"/>
        <sz val="11"/>
        <color rgb="FFC00000"/>
        <rFont val="Calibri"/>
        <family val="2"/>
        <scheme val="minor"/>
      </rPr>
      <t>0</t>
    </r>
    <r>
      <rPr>
        <sz val="11"/>
        <color rgb="FFC00000"/>
        <rFont val="Calibri"/>
        <family val="2"/>
        <scheme val="minor"/>
      </rPr>
      <t xml:space="preserve"> (&lt;0.1)</t>
    </r>
  </si>
  <si>
    <t>comprobation:</t>
  </si>
  <si>
    <r>
      <t>e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 xml:space="preserve"> from final point</t>
    </r>
  </si>
  <si>
    <r>
      <t>e</t>
    </r>
    <r>
      <rPr>
        <vertAlign val="subscript"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-e</t>
    </r>
    <r>
      <rPr>
        <vertAlign val="subscript"/>
        <sz val="11"/>
        <color theme="1"/>
        <rFont val="Calibri"/>
        <family val="2"/>
        <scheme val="minor"/>
      </rPr>
      <t>H</t>
    </r>
  </si>
  <si>
    <t>error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</si>
  <si>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</si>
  <si>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r2</t>
  </si>
  <si>
    <t>slope</t>
  </si>
  <si>
    <t>oo</t>
  </si>
  <si>
    <r>
      <rPr>
        <sz val="11"/>
        <rFont val="Symbol"/>
        <family val="1"/>
        <charset val="2"/>
      </rPr>
      <t>e</t>
    </r>
    <r>
      <rPr>
        <vertAlign val="subscript"/>
        <sz val="11"/>
        <rFont val="Calibri"/>
        <family val="2"/>
        <scheme val="minor"/>
      </rPr>
      <t>HG</t>
    </r>
  </si>
  <si>
    <t>eHG</t>
  </si>
  <si>
    <t>error (%)</t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</si>
  <si>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+[G]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</si>
  <si>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[H]+[G]+2[HG]</t>
  </si>
  <si>
    <t>[H]+[G]+[HG]</t>
  </si>
  <si>
    <r>
      <rPr>
        <b/>
        <sz val="11"/>
        <color theme="1"/>
        <rFont val="Symbol"/>
        <family val="1"/>
        <charset val="2"/>
      </rPr>
      <t>C</t>
    </r>
    <r>
      <rPr>
        <b/>
        <vertAlign val="subscript"/>
        <sz val="11"/>
        <color theme="1"/>
        <rFont val="Calibri"/>
        <family val="2"/>
        <scheme val="minor"/>
      </rPr>
      <t>[H]</t>
    </r>
  </si>
  <si>
    <r>
      <rPr>
        <b/>
        <sz val="11"/>
        <color theme="1"/>
        <rFont val="Symbol"/>
        <family val="1"/>
        <charset val="2"/>
      </rPr>
      <t>C</t>
    </r>
    <r>
      <rPr>
        <b/>
        <vertAlign val="subscript"/>
        <sz val="11"/>
        <color theme="1"/>
        <rFont val="Calibri"/>
        <family val="2"/>
        <scheme val="minor"/>
      </rPr>
      <t>[G]</t>
    </r>
  </si>
  <si>
    <r>
      <rPr>
        <b/>
        <sz val="11"/>
        <color theme="1"/>
        <rFont val="Symbol"/>
        <family val="1"/>
        <charset val="2"/>
      </rPr>
      <t>C</t>
    </r>
    <r>
      <rPr>
        <b/>
        <vertAlign val="subscript"/>
        <sz val="11"/>
        <color theme="1"/>
        <rFont val="Calibri"/>
        <family val="2"/>
        <scheme val="minor"/>
      </rPr>
      <t>[HG]</t>
    </r>
  </si>
  <si>
    <r>
      <t>[HG]/[H]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</si>
  <si>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[H]/[H]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</si>
  <si>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HOST name</t>
  </si>
  <si>
    <t>GUEST</t>
  </si>
  <si>
    <t>Ba(ClO4)2</t>
  </si>
  <si>
    <t>*if new samples for every experiment</t>
  </si>
  <si>
    <t>*If consecutive additions directly on the UV cell</t>
  </si>
  <si>
    <t>if only one stock used</t>
  </si>
  <si>
    <t>solutions/mg actually used (delete the non-used)</t>
  </si>
  <si>
    <t xml:space="preserve"> corrections</t>
  </si>
  <si>
    <t>total microL</t>
  </si>
  <si>
    <t>total mg</t>
  </si>
  <si>
    <t>added microL</t>
  </si>
  <si>
    <t>added mg</t>
  </si>
  <si>
    <t>method A</t>
  </si>
  <si>
    <t>method B</t>
  </si>
  <si>
    <t>STOCK1</t>
  </si>
  <si>
    <t>STOCK2</t>
  </si>
  <si>
    <t>STOCK3</t>
  </si>
  <si>
    <t>STOCK 0</t>
  </si>
  <si>
    <t>TOTAL VOLUME</t>
  </si>
  <si>
    <t>[G]0/[H]0</t>
  </si>
  <si>
    <t>Sample</t>
  </si>
  <si>
    <t>mL</t>
  </si>
  <si>
    <t>mol/L</t>
  </si>
  <si>
    <t>METHOD A: The solutions are prepared in "clean" solvent. [H]0 and [G]0 must be corrected.</t>
  </si>
  <si>
    <t>METHOD B: The solutions are prepared in HOST stock solution. [G]0 must be corrected.</t>
  </si>
  <si>
    <t>GUEST STOCK SOLUTION</t>
  </si>
  <si>
    <t>STOCK0</t>
  </si>
  <si>
    <t>2) dilute to prepare the other stock solutions.</t>
  </si>
  <si>
    <t>Vt(mL)</t>
  </si>
  <si>
    <t>HOST STOCK SOLUTION (from a mother solution)</t>
  </si>
  <si>
    <t>STOCK mother</t>
  </si>
  <si>
    <t>HOST STOCK solution</t>
  </si>
  <si>
    <t>stock mother (mL)</t>
  </si>
  <si>
    <t>solvent added (mL)</t>
  </si>
  <si>
    <t>V total</t>
  </si>
  <si>
    <t>absorption experimental</t>
  </si>
  <si>
    <t>absorption fitted</t>
  </si>
  <si>
    <t>[H]o</t>
  </si>
  <si>
    <t>[G]/[H]</t>
  </si>
  <si>
    <t>467 nm (exp.)</t>
  </si>
  <si>
    <t>368 nm (exp.)</t>
  </si>
  <si>
    <t>408 nm (exp.)</t>
  </si>
  <si>
    <t>467 nm (calc.)</t>
  </si>
  <si>
    <t>368 nm (calc.)</t>
  </si>
  <si>
    <t>408 nm (calc.)</t>
  </si>
  <si>
    <t>baseline corrected</t>
  </si>
  <si>
    <t>0 Ba</t>
  </si>
  <si>
    <t>0.1 Ba</t>
  </si>
  <si>
    <t>0.25Ba</t>
  </si>
  <si>
    <t>0.5 Ba</t>
  </si>
  <si>
    <t>0.75 Ba</t>
  </si>
  <si>
    <t>1 Ba</t>
  </si>
  <si>
    <t>2.5 Ba</t>
  </si>
  <si>
    <t>5 Ba</t>
  </si>
  <si>
    <t>7.5 Ba</t>
  </si>
  <si>
    <t>10 Ba</t>
  </si>
  <si>
    <t>20 Ba</t>
  </si>
  <si>
    <t>50 Ba</t>
  </si>
  <si>
    <t>INSTRUCTIONS: Fill only gray cells! And follow steps 1, 2, 3, 4, 5</t>
  </si>
  <si>
    <r>
      <t>[HG]/[H]</t>
    </r>
    <r>
      <rPr>
        <b/>
        <vertAlign val="subscript"/>
        <sz val="11"/>
        <rFont val="Calibri"/>
        <family val="2"/>
        <scheme val="minor"/>
      </rPr>
      <t>0</t>
    </r>
  </si>
  <si>
    <r>
      <t>1)Graph 1: check that the expected K is within the "safe range" at the [H]</t>
    </r>
    <r>
      <rPr>
        <vertAlign val="subscript"/>
        <sz val="11"/>
        <color rgb="FFC00000"/>
        <rFont val="Calibri"/>
        <family val="2"/>
        <scheme val="minor"/>
      </rPr>
      <t>0</t>
    </r>
    <r>
      <rPr>
        <sz val="11"/>
        <color rgb="FFC00000"/>
        <rFont val="Calibri"/>
        <family val="2"/>
        <scheme val="minor"/>
      </rPr>
      <t xml:space="preserve"> you decided. </t>
    </r>
  </si>
  <si>
    <t>3) Important restriction! It affects the spectroscopy to be used!</t>
  </si>
  <si>
    <t>For graph 1:</t>
  </si>
  <si>
    <t>4) Fill the selected [G]0/[H]0 ratios and try different K's to if you will be able to notice the difference.</t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</si>
  <si>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</si>
  <si>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[G]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</si>
  <si>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5) copy [G]0/[H]0 ratios selected and paste them in the tester spreadsheets to see the simulation (you should include a guess on the molar absorptivities of H, G and HG).</t>
  </si>
  <si>
    <t>6) use the experimental spreadsheet to prepare your stock solutions.</t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</si>
  <si>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*K</t>
    </r>
    <r>
      <rPr>
        <b/>
        <sz val="11"/>
        <color rgb="FFC00000"/>
        <rFont val="Calibri"/>
        <family val="2"/>
        <scheme val="minor"/>
      </rPr>
      <t>&lt;1!!</t>
    </r>
  </si>
  <si>
    <t>K3</t>
  </si>
  <si>
    <t>Selection for the experiment:</t>
  </si>
  <si>
    <t>For graph 2:</t>
  </si>
  <si>
    <r>
      <t>X=[G]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/[H]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</si>
  <si>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Y=[HG]/[H]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</si>
  <si>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X=[G]0/[H]0</t>
  </si>
  <si>
    <t>Y=[HG]/[H]0</t>
  </si>
  <si>
    <t>2)Graph2: decide the range of [G]0 concentrations to be used (full complexation)</t>
  </si>
  <si>
    <t xml:space="preserve"> according to your expected K and [H]0 you want to use</t>
  </si>
  <si>
    <t>See this publication for more details:</t>
  </si>
  <si>
    <t>AAN219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</si>
</sst>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E+00"/>
    <numFmt numFmtId="165" formatCode="0.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Arial"/>
      <family val="2"/>
    </font>
    <font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Symbol"/>
      <family val="1"/>
      <charset val="2"/>
    </font>
    <font>
      <vertAlign val="subscript"/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EA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889DB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1" fontId="0" fillId="0" borderId="0" xfId="0" applyNumberFormat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1" xfId="0" applyBorder="1"/>
    <xf numFmtId="11" fontId="2" fillId="0" borderId="2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11" fontId="0" fillId="3" borderId="5" xfId="0" applyNumberFormat="1" applyFill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0" fillId="0" borderId="6" xfId="0" applyBorder="1"/>
    <xf numFmtId="11" fontId="2" fillId="0" borderId="7" xfId="0" applyNumberFormat="1" applyFont="1" applyBorder="1"/>
    <xf numFmtId="0" fontId="9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11" fontId="0" fillId="3" borderId="8" xfId="0" applyNumberFormat="1" applyFill="1" applyBorder="1" applyAlignment="1">
      <alignment horizontal="center"/>
    </xf>
    <xf numFmtId="0" fontId="0" fillId="4" borderId="9" xfId="0" applyFill="1" applyBorder="1"/>
    <xf numFmtId="11" fontId="0" fillId="4" borderId="2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11" fontId="0" fillId="4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 horizontal="center"/>
    </xf>
    <xf numFmtId="11" fontId="0" fillId="3" borderId="16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11" fontId="0" fillId="5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11" fontId="0" fillId="4" borderId="18" xfId="0" applyNumberFormat="1" applyFill="1" applyBorder="1" applyAlignment="1">
      <alignment horizontal="center"/>
    </xf>
    <xf numFmtId="0" fontId="9" fillId="4" borderId="19" xfId="0" applyFont="1" applyFill="1" applyBorder="1"/>
    <xf numFmtId="2" fontId="9" fillId="4" borderId="2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1" fontId="0" fillId="4" borderId="0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0" fontId="0" fillId="4" borderId="19" xfId="0" applyFill="1" applyBorder="1"/>
    <xf numFmtId="11" fontId="0" fillId="4" borderId="2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0" fillId="4" borderId="22" xfId="0" applyFill="1" applyBorder="1"/>
    <xf numFmtId="11" fontId="0" fillId="4" borderId="7" xfId="0" applyNumberFormat="1" applyFill="1" applyBorder="1" applyAlignment="1">
      <alignment horizontal="center"/>
    </xf>
    <xf numFmtId="0" fontId="9" fillId="4" borderId="3" xfId="0" applyFont="1" applyFill="1" applyBorder="1"/>
    <xf numFmtId="2" fontId="9" fillId="4" borderId="4" xfId="0" applyNumberFormat="1" applyFont="1" applyFill="1" applyBorder="1"/>
    <xf numFmtId="2" fontId="0" fillId="5" borderId="6" xfId="0" applyNumberFormat="1" applyFill="1" applyBorder="1" applyAlignment="1">
      <alignment horizontal="center"/>
    </xf>
    <xf numFmtId="11" fontId="0" fillId="0" borderId="21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0" fillId="0" borderId="0" xfId="0" applyFill="1" applyBorder="1"/>
    <xf numFmtId="0" fontId="9" fillId="0" borderId="0" xfId="0" applyFont="1"/>
    <xf numFmtId="11" fontId="0" fillId="0" borderId="0" xfId="0" applyNumberFormat="1" applyFill="1" applyBorder="1"/>
    <xf numFmtId="49" fontId="0" fillId="0" borderId="23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0" fontId="0" fillId="0" borderId="24" xfId="0" applyBorder="1"/>
    <xf numFmtId="11" fontId="0" fillId="0" borderId="25" xfId="0" applyNumberFormat="1" applyBorder="1"/>
    <xf numFmtId="0" fontId="0" fillId="0" borderId="26" xfId="0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0" fillId="0" borderId="27" xfId="0" applyBorder="1"/>
    <xf numFmtId="9" fontId="0" fillId="0" borderId="28" xfId="0" applyNumberFormat="1" applyBorder="1"/>
    <xf numFmtId="0" fontId="2" fillId="0" borderId="0" xfId="0" applyFont="1"/>
    <xf numFmtId="0" fontId="6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164" fontId="0" fillId="3" borderId="0" xfId="0" applyNumberFormat="1" applyFill="1"/>
    <xf numFmtId="164" fontId="2" fillId="0" borderId="0" xfId="0" applyNumberFormat="1" applyFont="1"/>
    <xf numFmtId="0" fontId="13" fillId="0" borderId="0" xfId="0" applyFont="1"/>
    <xf numFmtId="0" fontId="6" fillId="0" borderId="23" xfId="0" applyFont="1" applyFill="1" applyBorder="1"/>
    <xf numFmtId="165" fontId="6" fillId="0" borderId="25" xfId="0" applyNumberFormat="1" applyFont="1" applyFill="1" applyBorder="1"/>
    <xf numFmtId="0" fontId="0" fillId="0" borderId="23" xfId="0" applyBorder="1"/>
    <xf numFmtId="0" fontId="0" fillId="0" borderId="25" xfId="0" applyBorder="1"/>
    <xf numFmtId="0" fontId="6" fillId="0" borderId="29" xfId="0" applyFont="1" applyFill="1" applyBorder="1"/>
    <xf numFmtId="11" fontId="6" fillId="0" borderId="30" xfId="0" applyNumberFormat="1" applyFont="1" applyFill="1" applyBorder="1"/>
    <xf numFmtId="0" fontId="0" fillId="0" borderId="26" xfId="0" applyFill="1" applyBorder="1"/>
    <xf numFmtId="9" fontId="0" fillId="0" borderId="28" xfId="0" applyNumberFormat="1" applyFill="1" applyBorder="1"/>
    <xf numFmtId="11" fontId="9" fillId="0" borderId="0" xfId="0" applyNumberFormat="1" applyFont="1" applyFill="1"/>
    <xf numFmtId="0" fontId="9" fillId="0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1" fontId="2" fillId="0" borderId="10" xfId="0" applyNumberFormat="1" applyFont="1" applyBorder="1" applyAlignment="1">
      <alignment horizontal="center"/>
    </xf>
    <xf numFmtId="11" fontId="2" fillId="0" borderId="0" xfId="0" applyNumberFormat="1" applyFont="1" applyBorder="1" applyAlignment="1">
      <alignment horizontal="center"/>
    </xf>
    <xf numFmtId="11" fontId="2" fillId="0" borderId="12" xfId="0" applyNumberFormat="1" applyFont="1" applyBorder="1" applyAlignment="1">
      <alignment horizontal="center"/>
    </xf>
    <xf numFmtId="11" fontId="2" fillId="0" borderId="6" xfId="0" applyNumberFormat="1" applyFont="1" applyBorder="1" applyAlignment="1">
      <alignment horizontal="center"/>
    </xf>
    <xf numFmtId="11" fontId="2" fillId="0" borderId="21" xfId="0" applyNumberFormat="1" applyFont="1" applyBorder="1" applyAlignment="1">
      <alignment horizontal="center"/>
    </xf>
    <xf numFmtId="11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5" borderId="12" xfId="0" applyFill="1" applyBorder="1" applyAlignment="1">
      <alignment horizontal="center"/>
    </xf>
    <xf numFmtId="11" fontId="0" fillId="5" borderId="12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5" borderId="7" xfId="0" applyFill="1" applyBorder="1" applyAlignment="1">
      <alignment horizontal="center"/>
    </xf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Fill="1" applyBorder="1" applyAlignment="1"/>
    <xf numFmtId="0" fontId="17" fillId="0" borderId="14" xfId="0" applyFont="1" applyFill="1" applyBorder="1" applyAlignment="1"/>
    <xf numFmtId="0" fontId="0" fillId="0" borderId="15" xfId="0" applyFill="1" applyBorder="1" applyAlignment="1"/>
    <xf numFmtId="0" fontId="1" fillId="0" borderId="34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0" borderId="37" xfId="0" applyFont="1" applyBorder="1"/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Border="1"/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/>
    <xf numFmtId="0" fontId="1" fillId="0" borderId="38" xfId="0" applyFont="1" applyBorder="1"/>
    <xf numFmtId="0" fontId="1" fillId="0" borderId="0" xfId="0" applyFont="1"/>
    <xf numFmtId="0" fontId="0" fillId="0" borderId="10" xfId="0" applyBorder="1" applyAlignment="1">
      <alignment horizontal="center"/>
    </xf>
    <xf numFmtId="0" fontId="0" fillId="5" borderId="0" xfId="0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1" fontId="0" fillId="0" borderId="35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166" fontId="0" fillId="6" borderId="12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11" fontId="0" fillId="4" borderId="10" xfId="0" applyNumberFormat="1" applyFill="1" applyBorder="1" applyAlignment="1">
      <alignment horizontal="center"/>
    </xf>
    <xf numFmtId="11" fontId="0" fillId="4" borderId="0" xfId="0" applyNumberFormat="1" applyFill="1" applyBorder="1"/>
    <xf numFmtId="11" fontId="0" fillId="4" borderId="12" xfId="0" applyNumberFormat="1" applyFill="1" applyBorder="1"/>
    <xf numFmtId="11" fontId="0" fillId="7" borderId="10" xfId="0" applyNumberFormat="1" applyFill="1" applyBorder="1"/>
    <xf numFmtId="11" fontId="0" fillId="7" borderId="0" xfId="0" applyNumberFormat="1" applyFill="1" applyBorder="1"/>
    <xf numFmtId="2" fontId="0" fillId="7" borderId="12" xfId="0" applyNumberFormat="1" applyFill="1" applyBorder="1"/>
    <xf numFmtId="0" fontId="0" fillId="0" borderId="6" xfId="0" applyBorder="1" applyAlignment="1">
      <alignment horizontal="center"/>
    </xf>
    <xf numFmtId="0" fontId="0" fillId="5" borderId="21" xfId="0" applyFill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21" xfId="0" applyNumberFormat="1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11" fontId="0" fillId="4" borderId="6" xfId="0" applyNumberFormat="1" applyFill="1" applyBorder="1" applyAlignment="1">
      <alignment horizontal="center"/>
    </xf>
    <xf numFmtId="11" fontId="0" fillId="4" borderId="21" xfId="0" applyNumberFormat="1" applyFill="1" applyBorder="1"/>
    <xf numFmtId="11" fontId="0" fillId="4" borderId="7" xfId="0" applyNumberFormat="1" applyFill="1" applyBorder="1"/>
    <xf numFmtId="11" fontId="0" fillId="7" borderId="6" xfId="0" applyNumberFormat="1" applyFill="1" applyBorder="1"/>
    <xf numFmtId="11" fontId="0" fillId="7" borderId="21" xfId="0" applyNumberFormat="1" applyFill="1" applyBorder="1"/>
    <xf numFmtId="2" fontId="0" fillId="7" borderId="7" xfId="0" applyNumberFormat="1" applyFill="1" applyBorder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4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11" fontId="0" fillId="0" borderId="2" xfId="0" applyNumberFormat="1" applyBorder="1"/>
    <xf numFmtId="11" fontId="0" fillId="8" borderId="12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0" fillId="0" borderId="12" xfId="0" applyNumberFormat="1" applyBorder="1"/>
    <xf numFmtId="166" fontId="0" fillId="0" borderId="7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0" xfId="0" applyFont="1" applyBorder="1"/>
    <xf numFmtId="0" fontId="1" fillId="0" borderId="39" xfId="0" applyFont="1" applyBorder="1"/>
    <xf numFmtId="2" fontId="0" fillId="7" borderId="12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1" fillId="9" borderId="0" xfId="0" applyFont="1" applyFill="1"/>
    <xf numFmtId="0" fontId="1" fillId="9" borderId="0" xfId="0" applyFont="1" applyFill="1" applyBorder="1" applyAlignment="1">
      <alignment horizontal="center"/>
    </xf>
    <xf numFmtId="0" fontId="1" fillId="9" borderId="11" xfId="0" applyFont="1" applyFill="1" applyBorder="1"/>
    <xf numFmtId="2" fontId="0" fillId="0" borderId="0" xfId="0" applyNumberFormat="1" applyAlignment="1">
      <alignment horizontal="center"/>
    </xf>
    <xf numFmtId="0" fontId="0" fillId="10" borderId="0" xfId="0" applyFill="1"/>
    <xf numFmtId="0" fontId="0" fillId="11" borderId="11" xfId="0" applyFill="1" applyBorder="1"/>
    <xf numFmtId="0" fontId="0" fillId="11" borderId="0" xfId="0" applyFill="1"/>
    <xf numFmtId="0" fontId="0" fillId="0" borderId="12" xfId="0" applyFill="1" applyBorder="1" applyAlignment="1">
      <alignment horizontal="center"/>
    </xf>
    <xf numFmtId="0" fontId="0" fillId="0" borderId="12" xfId="0" applyBorder="1"/>
    <xf numFmtId="0" fontId="0" fillId="0" borderId="21" xfId="0" applyFill="1" applyBorder="1" applyAlignment="1">
      <alignment horizontal="center"/>
    </xf>
    <xf numFmtId="0" fontId="1" fillId="0" borderId="0" xfId="0" applyFont="1" applyFill="1" applyBorder="1"/>
    <xf numFmtId="0" fontId="18" fillId="0" borderId="0" xfId="0" applyFont="1"/>
    <xf numFmtId="0" fontId="18" fillId="0" borderId="0" xfId="0" applyFont="1" applyFill="1"/>
    <xf numFmtId="0" fontId="19" fillId="9" borderId="0" xfId="0" applyFont="1" applyFill="1" applyAlignment="1">
      <alignment horizontal="center"/>
    </xf>
    <xf numFmtId="0" fontId="6" fillId="0" borderId="0" xfId="0" applyFont="1"/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1" fontId="0" fillId="3" borderId="49" xfId="0" applyNumberForma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1" fontId="0" fillId="3" borderId="50" xfId="0" applyNumberFormat="1" applyFill="1" applyBorder="1"/>
    <xf numFmtId="11" fontId="0" fillId="0" borderId="50" xfId="0" applyNumberFormat="1" applyBorder="1" applyAlignment="1">
      <alignment horizontal="center"/>
    </xf>
    <xf numFmtId="11" fontId="0" fillId="0" borderId="49" xfId="0" applyNumberForma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1" fontId="2" fillId="0" borderId="10" xfId="0" applyNumberFormat="1" applyFont="1" applyBorder="1"/>
    <xf numFmtId="11" fontId="2" fillId="0" borderId="0" xfId="0" applyNumberFormat="1" applyFont="1" applyBorder="1"/>
    <xf numFmtId="0" fontId="2" fillId="0" borderId="0" xfId="0" applyFont="1" applyBorder="1"/>
    <xf numFmtId="0" fontId="2" fillId="0" borderId="12" xfId="0" applyFont="1" applyBorder="1"/>
    <xf numFmtId="11" fontId="0" fillId="0" borderId="29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11" fontId="0" fillId="0" borderId="30" xfId="0" applyNumberFormat="1" applyBorder="1"/>
    <xf numFmtId="11" fontId="0" fillId="0" borderId="26" xfId="0" applyNumberFormat="1" applyBorder="1" applyAlignment="1">
      <alignment horizontal="center"/>
    </xf>
    <xf numFmtId="0" fontId="0" fillId="3" borderId="27" xfId="0" applyFill="1" applyBorder="1" applyAlignment="1">
      <alignment horizontal="center"/>
    </xf>
    <xf numFmtId="11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1" fontId="0" fillId="0" borderId="28" xfId="0" applyNumberForma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1" fontId="2" fillId="0" borderId="6" xfId="0" applyNumberFormat="1" applyFont="1" applyBorder="1"/>
    <xf numFmtId="0" fontId="0" fillId="0" borderId="21" xfId="0" applyBorder="1"/>
    <xf numFmtId="11" fontId="2" fillId="0" borderId="21" xfId="0" applyNumberFormat="1" applyFont="1" applyBorder="1"/>
    <xf numFmtId="0" fontId="2" fillId="0" borderId="21" xfId="0" applyFont="1" applyBorder="1"/>
    <xf numFmtId="0" fontId="2" fillId="0" borderId="7" xfId="0" applyFont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11" fontId="0" fillId="0" borderId="7" xfId="0" applyNumberFormat="1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35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11" fontId="0" fillId="0" borderId="4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'Setting-up conditions'!$V$13</c:f>
              <c:strCache>
                <c:ptCount val="1"/>
                <c:pt idx="0">
                  <c:v>Y=[HG]/[H]0</c:v>
                </c:pt>
              </c:strCache>
            </c:strRef>
          </c:tx>
          <c:spPr>
            <a:ln w="15875" cap="rnd">
              <a:solidFill>
                <a:schemeClr val="accent1">
                  <a:shade val="50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'Setting-up conditions'!$R$14:$R$38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1.6</c:v>
                </c:pt>
                <c:pt idx="5">
                  <c:v>3.2</c:v>
                </c:pt>
                <c:pt idx="6">
                  <c:v>6.4</c:v>
                </c:pt>
                <c:pt idx="7">
                  <c:v>12.8</c:v>
                </c:pt>
                <c:pt idx="8">
                  <c:v>25.6</c:v>
                </c:pt>
                <c:pt idx="9">
                  <c:v>51.2</c:v>
                </c:pt>
                <c:pt idx="10">
                  <c:v>102.4</c:v>
                </c:pt>
                <c:pt idx="11">
                  <c:v>204.8</c:v>
                </c:pt>
                <c:pt idx="12">
                  <c:v>409.6</c:v>
                </c:pt>
                <c:pt idx="13">
                  <c:v>819.2</c:v>
                </c:pt>
                <c:pt idx="14">
                  <c:v>1638.4</c:v>
                </c:pt>
                <c:pt idx="15">
                  <c:v>3276.8</c:v>
                </c:pt>
                <c:pt idx="16">
                  <c:v>6553.6</c:v>
                </c:pt>
                <c:pt idx="17">
                  <c:v>13107.2</c:v>
                </c:pt>
                <c:pt idx="18">
                  <c:v>26214.400000000001</c:v>
                </c:pt>
                <c:pt idx="19">
                  <c:v>52428.800000000003</c:v>
                </c:pt>
                <c:pt idx="20">
                  <c:v>104857.60000000001</c:v>
                </c:pt>
                <c:pt idx="21">
                  <c:v>209715.20000000001</c:v>
                </c:pt>
                <c:pt idx="22">
                  <c:v>419430.40000000002</c:v>
                </c:pt>
                <c:pt idx="23">
                  <c:v>838860.80000000005</c:v>
                </c:pt>
                <c:pt idx="24">
                  <c:v>1677721.6000000001</c:v>
                </c:pt>
              </c:numCache>
            </c:numRef>
          </c:xVal>
          <c:yVal>
            <c:numRef>
              <c:f>'Setting-up conditions'!$V$14:$V$38</c:f>
              <c:numCache>
                <c:formatCode>General</c:formatCode>
                <c:ptCount val="25"/>
                <c:pt idx="0">
                  <c:v>9.0163328159864609E-3</c:v>
                </c:pt>
                <c:pt idx="1">
                  <c:v>1.7885705218855241E-2</c:v>
                </c:pt>
                <c:pt idx="2">
                  <c:v>3.5196384692581795E-2</c:v>
                </c:pt>
                <c:pt idx="3">
                  <c:v>6.8190675270667356E-2</c:v>
                </c:pt>
                <c:pt idx="4">
                  <c:v>0.12829035031621028</c:v>
                </c:pt>
                <c:pt idx="5">
                  <c:v>0.22904664547924616</c:v>
                </c:pt>
                <c:pt idx="6">
                  <c:v>0.37593849133729657</c:v>
                </c:pt>
                <c:pt idx="7">
                  <c:v>0.55055067415163084</c:v>
                </c:pt>
                <c:pt idx="8">
                  <c:v>0.71335734143665575</c:v>
                </c:pt>
                <c:pt idx="9">
                  <c:v>0.83434289495766045</c:v>
                </c:pt>
                <c:pt idx="10">
                  <c:v>0.91030561116148168</c:v>
                </c:pt>
                <c:pt idx="11">
                  <c:v>0.95323754315888476</c:v>
                </c:pt>
                <c:pt idx="12">
                  <c:v>0.97611220885468708</c:v>
                </c:pt>
                <c:pt idx="13">
                  <c:v>0.98792579785843782</c:v>
                </c:pt>
                <c:pt idx="14">
                  <c:v>0.99392985118768717</c:v>
                </c:pt>
                <c:pt idx="15">
                  <c:v>0.9969566039509915</c:v>
                </c:pt>
                <c:pt idx="16">
                  <c:v>0.99847621404933318</c:v>
                </c:pt>
                <c:pt idx="17">
                  <c:v>0.9992375841000013</c:v>
                </c:pt>
                <c:pt idx="18">
                  <c:v>0.99961866120111165</c:v>
                </c:pt>
                <c:pt idx="19">
                  <c:v>0.99980929787307116</c:v>
                </c:pt>
                <c:pt idx="20">
                  <c:v>0.99990464074835483</c:v>
                </c:pt>
                <c:pt idx="21">
                  <c:v>0.99995231832508591</c:v>
                </c:pt>
                <c:pt idx="22">
                  <c:v>0.99997615867323486</c:v>
                </c:pt>
                <c:pt idx="23">
                  <c:v>0.99998807920201227</c:v>
                </c:pt>
                <c:pt idx="24">
                  <c:v>0.99999403959373023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3A-4895-9715-0A5B0368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572760"/>
        <c:axId val="967575056"/>
      </c:scatterChart>
      <c:valAx>
        <c:axId val="967572760"/>
        <c:scaling>
          <c:logBase val="10"/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[G]0/[H]0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7575056"/>
        <c:crosses val="autoZero"/>
        <c:crossBetween val="midCat"/>
      </c:valAx>
      <c:valAx>
        <c:axId val="967575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[HG]/[H]0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7572760"/>
        <c:crossesAt val="1.0000000000000002E-3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</a:t>
            </a:r>
            <a:r>
              <a:rPr lang="es-ES" baseline="-25000"/>
              <a:t>obs</a:t>
            </a:r>
            <a:r>
              <a:rPr lang="es-ES"/>
              <a:t> vs [G]</a:t>
            </a:r>
            <a:r>
              <a:rPr lang="es-ES" baseline="-25000"/>
              <a:t>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'TESTER-ABSORBANCE'!$T$16:$T$27</c:f>
              <c:numCache>
                <c:formatCode>0.000E+00</c:formatCode>
                <c:ptCount val="12"/>
                <c:pt idx="0">
                  <c:v>0.16</c:v>
                </c:pt>
                <c:pt idx="1">
                  <c:v>0.16324158180332127</c:v>
                </c:pt>
                <c:pt idx="2">
                  <c:v>0.16780998020867932</c:v>
                </c:pt>
                <c:pt idx="3">
                  <c:v>0.17467910431943603</c:v>
                </c:pt>
                <c:pt idx="4">
                  <c:v>0.18069098674506037</c:v>
                </c:pt>
                <c:pt idx="5">
                  <c:v>0.1859384904661103</c:v>
                </c:pt>
                <c:pt idx="6">
                  <c:v>0.20617604461359962</c:v>
                </c:pt>
                <c:pt idx="7">
                  <c:v>0.22008344738993296</c:v>
                </c:pt>
                <c:pt idx="8">
                  <c:v>0.22605961141596287</c:v>
                </c:pt>
                <c:pt idx="9">
                  <c:v>0.22931175473059323</c:v>
                </c:pt>
                <c:pt idx="10">
                  <c:v>0.23449749574078424</c:v>
                </c:pt>
                <c:pt idx="11">
                  <c:v>0.23776597635923291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A5-4C73-8FA1-E0C814A30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</a:t>
            </a:r>
            <a:r>
              <a:rPr lang="es-ES" baseline="-25000"/>
              <a:t>obs</a:t>
            </a:r>
            <a:r>
              <a:rPr lang="es-ES"/>
              <a:t> vs [G]</a:t>
            </a:r>
            <a:r>
              <a:rPr lang="es-ES" baseline="-25000"/>
              <a:t>0</a:t>
            </a:r>
            <a:r>
              <a:rPr lang="es-ES" baseline="0"/>
              <a:t>/[H]</a:t>
            </a:r>
            <a:r>
              <a:rPr lang="es-ES" baseline="-25000"/>
              <a:t>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'TESTER-ABSORBANCE'!$G$16:$G$27</c:f>
              <c:numCache>
                <c:formatCode>0.00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2.5</c:v>
                </c:pt>
                <c:pt idx="7">
                  <c:v>5</c:v>
                </c:pt>
                <c:pt idx="8">
                  <c:v>7.5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</c:numCache>
            </c:numRef>
          </c:xVal>
          <c:yVal>
            <c:numRef>
              <c:f>'TESTER-ABSORBANCE'!$T$16:$T$27</c:f>
              <c:numCache>
                <c:formatCode>0.000E+00</c:formatCode>
                <c:ptCount val="12"/>
                <c:pt idx="0">
                  <c:v>0.16</c:v>
                </c:pt>
                <c:pt idx="1">
                  <c:v>0.16324158180332127</c:v>
                </c:pt>
                <c:pt idx="2">
                  <c:v>0.16780998020867932</c:v>
                </c:pt>
                <c:pt idx="3">
                  <c:v>0.17467910431943603</c:v>
                </c:pt>
                <c:pt idx="4">
                  <c:v>0.18069098674506037</c:v>
                </c:pt>
                <c:pt idx="5">
                  <c:v>0.1859384904661103</c:v>
                </c:pt>
                <c:pt idx="6">
                  <c:v>0.20617604461359962</c:v>
                </c:pt>
                <c:pt idx="7">
                  <c:v>0.22008344738993296</c:v>
                </c:pt>
                <c:pt idx="8">
                  <c:v>0.22605961141596287</c:v>
                </c:pt>
                <c:pt idx="9">
                  <c:v>0.22931175473059323</c:v>
                </c:pt>
                <c:pt idx="10">
                  <c:v>0.23449749574078424</c:v>
                </c:pt>
                <c:pt idx="11">
                  <c:v>0.23776597635923291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EE-47BA-9DD0-917A1ECE7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  <a:r>
                  <a:rPr lang="en-US" b="1" baseline="0"/>
                  <a:t>/[H]</a:t>
                </a:r>
                <a:r>
                  <a:rPr lang="en-US" b="1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Speciation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[H]</c:v>
          </c:tx>
          <c:spPr>
            <a:ln w="127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'TESTER-ABSORBANCE'!$P$16:$P$27</c:f>
              <c:numCache>
                <c:formatCode>0.000E+00</c:formatCode>
                <c:ptCount val="12"/>
                <c:pt idx="0">
                  <c:v>1.0000000000000001E-5</c:v>
                </c:pt>
                <c:pt idx="1">
                  <c:v>9.5948022745848428E-6</c:v>
                </c:pt>
                <c:pt idx="2">
                  <c:v>9.0237524739150884E-6</c:v>
                </c:pt>
                <c:pt idx="3">
                  <c:v>8.1651119600704996E-6</c:v>
                </c:pt>
                <c:pt idx="4">
                  <c:v>7.4136266568674564E-6</c:v>
                </c:pt>
                <c:pt idx="5">
                  <c:v>6.7576886917362159E-6</c:v>
                </c:pt>
                <c:pt idx="6">
                  <c:v>4.2279944233000502E-6</c:v>
                </c:pt>
                <c:pt idx="7">
                  <c:v>2.4895690762583848E-6</c:v>
                </c:pt>
                <c:pt idx="8">
                  <c:v>1.7425485730046449E-6</c:v>
                </c:pt>
                <c:pt idx="9">
                  <c:v>1.3360306586758497E-6</c:v>
                </c:pt>
                <c:pt idx="10">
                  <c:v>6.8781303240197246E-7</c:v>
                </c:pt>
                <c:pt idx="11">
                  <c:v>2.7925295509588724E-7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BA-44B3-8ABC-21EDCD15A7C1}"/>
            </c:ext>
          </c:extLst>
        </c:ser>
        <c:ser>
          <c:idx val="2"/>
          <c:order val="1"/>
          <c:tx>
            <c:v>[HG]</c:v>
          </c:tx>
          <c:spPr>
            <a:ln w="12700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'TESTER-ABSORBANCE'!$R$16:$R$27</c:f>
              <c:numCache>
                <c:formatCode>0.000E+00</c:formatCode>
                <c:ptCount val="12"/>
                <c:pt idx="0">
                  <c:v>0</c:v>
                </c:pt>
                <c:pt idx="1">
                  <c:v>4.0519772541515785E-7</c:v>
                </c:pt>
                <c:pt idx="2">
                  <c:v>9.762475260849124E-7</c:v>
                </c:pt>
                <c:pt idx="3">
                  <c:v>1.8348880399295019E-6</c:v>
                </c:pt>
                <c:pt idx="4">
                  <c:v>2.5863733431325445E-6</c:v>
                </c:pt>
                <c:pt idx="5">
                  <c:v>3.2423113082637853E-6</c:v>
                </c:pt>
                <c:pt idx="6">
                  <c:v>5.7720055766999506E-6</c:v>
                </c:pt>
                <c:pt idx="7">
                  <c:v>7.5104309237416161E-6</c:v>
                </c:pt>
                <c:pt idx="8">
                  <c:v>8.2574514269953559E-6</c:v>
                </c:pt>
                <c:pt idx="9">
                  <c:v>8.6639693413241511E-6</c:v>
                </c:pt>
                <c:pt idx="10">
                  <c:v>9.3121869675980284E-6</c:v>
                </c:pt>
                <c:pt idx="11">
                  <c:v>9.7207470449041136E-6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BA-44B3-8ABC-21EDCD15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concentration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Speciation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'TESTER-ABSORBANCE'!$G$16:$G$27</c:f>
              <c:numCache>
                <c:formatCode>0.00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2.5</c:v>
                </c:pt>
                <c:pt idx="7">
                  <c:v>5</c:v>
                </c:pt>
                <c:pt idx="8">
                  <c:v>7.5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</c:numCache>
            </c:numRef>
          </c:xVal>
          <c:yVal>
            <c:numRef>
              <c:f>'TESTER-ABSORBANCE'!$V$59:$V$70</c:f>
              <c:numCache>
                <c:formatCode>0.00E+00</c:formatCode>
                <c:ptCount val="12"/>
                <c:pt idx="0">
                  <c:v>1</c:v>
                </c:pt>
                <c:pt idx="1">
                  <c:v>0.95948022745848416</c:v>
                </c:pt>
                <c:pt idx="2">
                  <c:v>0.90237524739150876</c:v>
                </c:pt>
                <c:pt idx="3">
                  <c:v>0.81651119600704991</c:v>
                </c:pt>
                <c:pt idx="4">
                  <c:v>0.74136266568674558</c:v>
                </c:pt>
                <c:pt idx="5">
                  <c:v>0.67576886917362156</c:v>
                </c:pt>
                <c:pt idx="6">
                  <c:v>0.42279944233000499</c:v>
                </c:pt>
                <c:pt idx="7">
                  <c:v>0.24895690762583847</c:v>
                </c:pt>
                <c:pt idx="8">
                  <c:v>0.17425485730046447</c:v>
                </c:pt>
                <c:pt idx="9">
                  <c:v>0.13360306586758497</c:v>
                </c:pt>
                <c:pt idx="10">
                  <c:v>6.8781303240197239E-2</c:v>
                </c:pt>
                <c:pt idx="11">
                  <c:v>2.7925295509588721E-2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94-441B-AE7F-DAE6AC84E130}"/>
            </c:ext>
          </c:extLst>
        </c:ser>
        <c:ser>
          <c:idx val="2"/>
          <c:order val="1"/>
          <c:tx>
            <c:v>HG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'TESTER-ABSORBANCE'!$G$16:$G$27</c:f>
              <c:numCache>
                <c:formatCode>0.00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  <c:pt idx="6">
                  <c:v>2.5</c:v>
                </c:pt>
                <c:pt idx="7">
                  <c:v>5</c:v>
                </c:pt>
                <c:pt idx="8">
                  <c:v>7.5</c:v>
                </c:pt>
                <c:pt idx="9">
                  <c:v>10</c:v>
                </c:pt>
                <c:pt idx="10">
                  <c:v>20</c:v>
                </c:pt>
                <c:pt idx="11">
                  <c:v>50</c:v>
                </c:pt>
              </c:numCache>
            </c:numRef>
          </c:xVal>
          <c:yVal>
            <c:numRef>
              <c:f>'TESTER-ABSORBANCE'!$U$59:$U$70</c:f>
              <c:numCache>
                <c:formatCode>0.00E+00</c:formatCode>
                <c:ptCount val="12"/>
                <c:pt idx="0">
                  <c:v>0</c:v>
                </c:pt>
                <c:pt idx="1">
                  <c:v>4.0519772541515779E-2</c:v>
                </c:pt>
                <c:pt idx="2">
                  <c:v>9.7624752608491239E-2</c:v>
                </c:pt>
                <c:pt idx="3">
                  <c:v>0.18348880399295017</c:v>
                </c:pt>
                <c:pt idx="4">
                  <c:v>0.25863733431325442</c:v>
                </c:pt>
                <c:pt idx="5">
                  <c:v>0.3242311308263785</c:v>
                </c:pt>
                <c:pt idx="6">
                  <c:v>0.57720055766999501</c:v>
                </c:pt>
                <c:pt idx="7">
                  <c:v>0.75104309237416156</c:v>
                </c:pt>
                <c:pt idx="8">
                  <c:v>0.82574514269953547</c:v>
                </c:pt>
                <c:pt idx="9">
                  <c:v>0.86639693413241503</c:v>
                </c:pt>
                <c:pt idx="10">
                  <c:v>0.93121869675980273</c:v>
                </c:pt>
                <c:pt idx="11">
                  <c:v>0.97207470449041122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94-441B-AE7F-DAE6AC84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[G]</a:t>
                </a:r>
                <a:r>
                  <a:rPr lang="en-US" b="1" baseline="-25000"/>
                  <a:t>0/</a:t>
                </a:r>
                <a:r>
                  <a:rPr lang="en-US" b="1" baseline="0"/>
                  <a:t>[H]</a:t>
                </a:r>
                <a:r>
                  <a:rPr lang="en-US" b="1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Molar</a:t>
                </a:r>
                <a:r>
                  <a:rPr lang="en-US" b="1" baseline="0"/>
                  <a:t> fraction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binding isoterm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'REAL CONDITIONS'!$L$26</c:f>
              <c:strCache>
                <c:ptCount val="1"/>
                <c:pt idx="0">
                  <c:v>467 nm (exp.)</c:v>
                </c:pt>
              </c:strCache>
            </c:strRef>
          </c:tx>
          <c:spPr>
            <a:ln w="12700">
              <a:noFill/>
              <a:prstDash val="sysDot"/>
            </a:ln>
          </c:spPr>
          <c:marker>
            <c:symbol val="circle"/>
            <c:size val="5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CONDITIONS'!$L$27:$L$38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55-47AF-8806-09B970ABE7D4}"/>
            </c:ext>
          </c:extLst>
        </c:ser>
        <c:ser>
          <c:idx val="0"/>
          <c:order val="1"/>
          <c:tx>
            <c:strRef>
              <c:f>'REAL CONDITIONS'!$M$26</c:f>
              <c:strCache>
                <c:ptCount val="1"/>
                <c:pt idx="0">
                  <c:v>368 nm (exp.)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CONDITIONS'!$M$27:$M$38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55-47AF-8806-09B970ABE7D4}"/>
            </c:ext>
          </c:extLst>
        </c:ser>
        <c:ser>
          <c:idx val="2"/>
          <c:order val="2"/>
          <c:tx>
            <c:strRef>
              <c:f>'REAL CONDITIONS'!$N$26</c:f>
              <c:strCache>
                <c:ptCount val="1"/>
                <c:pt idx="0">
                  <c:v>408 nm (exp.)</c:v>
                </c:pt>
              </c:strCache>
            </c:strRef>
          </c:tx>
          <c:spPr>
            <a:ln w="12700">
              <a:noFill/>
              <a:prstDash val="sysDot"/>
            </a:ln>
          </c:spPr>
          <c:marker>
            <c:symbol val="circle"/>
            <c:size val="5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CONDITIONS'!$N$27:$N$38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55-47AF-8806-09B970ABE7D4}"/>
            </c:ext>
          </c:extLst>
        </c:ser>
        <c:ser>
          <c:idx val="3"/>
          <c:order val="3"/>
          <c:tx>
            <c:strRef>
              <c:f>'REAL CONDITIONS'!$O$26</c:f>
              <c:strCache>
                <c:ptCount val="1"/>
                <c:pt idx="0">
                  <c:v>467 nm (calc.)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CONDITIONS'!$O$27:$O$38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55-47AF-8806-09B970ABE7D4}"/>
            </c:ext>
          </c:extLst>
        </c:ser>
        <c:ser>
          <c:idx val="4"/>
          <c:order val="4"/>
          <c:tx>
            <c:strRef>
              <c:f>'REAL CONDITIONS'!$P$26</c:f>
              <c:strCache>
                <c:ptCount val="1"/>
                <c:pt idx="0">
                  <c:v>368 nm (calc.)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CONDITIONS'!$P$27:$P$38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55-47AF-8806-09B970ABE7D4}"/>
            </c:ext>
          </c:extLst>
        </c:ser>
        <c:ser>
          <c:idx val="5"/>
          <c:order val="5"/>
          <c:tx>
            <c:strRef>
              <c:f>'REAL CONDITIONS'!$Q$26</c:f>
              <c:strCache>
                <c:ptCount val="1"/>
                <c:pt idx="0">
                  <c:v>408 nm (calc.)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CONDITIONS'!$Q$27:$Q$38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55-47AF-8806-09B970ABE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85456"/>
        <c:axId val="1072985784"/>
      </c:scatterChart>
      <c:valAx>
        <c:axId val="1072985456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+mj-lt"/>
                  </a:defRPr>
                </a:pPr>
                <a:r>
                  <a:rPr lang="en-US">
                    <a:latin typeface="+mj-lt"/>
                  </a:rPr>
                  <a:t>[G]</a:t>
                </a:r>
                <a:r>
                  <a:rPr lang="en-US" baseline="-25000">
                    <a:latin typeface="+mj-lt"/>
                  </a:rPr>
                  <a:t>0</a:t>
                </a:r>
                <a:r>
                  <a:rPr lang="en-US">
                    <a:latin typeface="+mj-lt"/>
                  </a:rPr>
                  <a:t>/[H]</a:t>
                </a:r>
                <a:r>
                  <a:rPr lang="en-US" baseline="-25000">
                    <a:latin typeface="+mj-lt"/>
                  </a:rPr>
                  <a:t>0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2985784"/>
        <c:crosses val="autoZero"/>
        <c:crossBetween val="midCat"/>
      </c:valAx>
      <c:valAx>
        <c:axId val="1072985784"/>
        <c:scaling>
          <c:orientation val="minMax"/>
          <c:max val="0.18000000000000002"/>
          <c:min val="4.0000000000000008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Absorption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298545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binding isoterm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xVal>
            <c:numRef>
              <c:f>'REAL CONDITIONS'!$J$27:$J$38</c:f>
              <c:numCache>
                <c:formatCode>0.00E+00</c:formatCode>
                <c:ptCount val="12"/>
                <c:pt idx="0">
                  <c:v>0</c:v>
                </c:pt>
                <c:pt idx="1">
                  <c:v>9.9009900990099039E-7</c:v>
                </c:pt>
                <c:pt idx="2">
                  <c:v>2.4390243902439027E-6</c:v>
                </c:pt>
                <c:pt idx="3">
                  <c:v>4.7619047619047624E-6</c:v>
                </c:pt>
                <c:pt idx="4">
                  <c:v>6.9767441860465119E-6</c:v>
                </c:pt>
                <c:pt idx="5">
                  <c:v>9.090909090909091E-6</c:v>
                </c:pt>
                <c:pt idx="6">
                  <c:v>2.2421524663677129E-5</c:v>
                </c:pt>
                <c:pt idx="7">
                  <c:v>4.3859649122807014E-5</c:v>
                </c:pt>
                <c:pt idx="8">
                  <c:v>6.4377682403433481E-5</c:v>
                </c:pt>
                <c:pt idx="9">
                  <c:v>8.4033613445378154E-5</c:v>
                </c:pt>
                <c:pt idx="10">
                  <c:v>1.6666666666666666E-4</c:v>
                </c:pt>
                <c:pt idx="11">
                  <c:v>4.0650406504065041E-4</c:v>
                </c:pt>
              </c:numCache>
            </c:numRef>
          </c:xVal>
          <c:yVal>
            <c:numRef>
              <c:f>'REAL CONDITIONS'!$L$27:$L$38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16-4DBB-B7E6-DD50C5EE0CC0}"/>
            </c:ext>
          </c:extLst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'REAL CONDITIONS'!$J$27:$J$38</c:f>
              <c:numCache>
                <c:formatCode>0.00E+00</c:formatCode>
                <c:ptCount val="12"/>
                <c:pt idx="0">
                  <c:v>0</c:v>
                </c:pt>
                <c:pt idx="1">
                  <c:v>9.9009900990099039E-7</c:v>
                </c:pt>
                <c:pt idx="2">
                  <c:v>2.4390243902439027E-6</c:v>
                </c:pt>
                <c:pt idx="3">
                  <c:v>4.7619047619047624E-6</c:v>
                </c:pt>
                <c:pt idx="4">
                  <c:v>6.9767441860465119E-6</c:v>
                </c:pt>
                <c:pt idx="5">
                  <c:v>9.090909090909091E-6</c:v>
                </c:pt>
                <c:pt idx="6">
                  <c:v>2.2421524663677129E-5</c:v>
                </c:pt>
                <c:pt idx="7">
                  <c:v>4.3859649122807014E-5</c:v>
                </c:pt>
                <c:pt idx="8">
                  <c:v>6.4377682403433481E-5</c:v>
                </c:pt>
                <c:pt idx="9">
                  <c:v>8.4033613445378154E-5</c:v>
                </c:pt>
                <c:pt idx="10">
                  <c:v>1.6666666666666666E-4</c:v>
                </c:pt>
                <c:pt idx="11">
                  <c:v>4.0650406504065041E-4</c:v>
                </c:pt>
              </c:numCache>
            </c:numRef>
          </c:xVal>
          <c:yVal>
            <c:numRef>
              <c:f>'REAL CONDITIONS'!$M$27:$M$38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16-4DBB-B7E6-DD50C5EE0CC0}"/>
            </c:ext>
          </c:extLst>
        </c:ser>
        <c:ser>
          <c:idx val="2"/>
          <c:order val="2"/>
          <c:spPr>
            <a:ln w="19050">
              <a:noFill/>
            </a:ln>
          </c:spPr>
          <c:xVal>
            <c:numRef>
              <c:f>'REAL CONDITIONS'!$J$27:$J$38</c:f>
              <c:numCache>
                <c:formatCode>0.00E+00</c:formatCode>
                <c:ptCount val="12"/>
                <c:pt idx="0">
                  <c:v>0</c:v>
                </c:pt>
                <c:pt idx="1">
                  <c:v>9.9009900990099039E-7</c:v>
                </c:pt>
                <c:pt idx="2">
                  <c:v>2.4390243902439027E-6</c:v>
                </c:pt>
                <c:pt idx="3">
                  <c:v>4.7619047619047624E-6</c:v>
                </c:pt>
                <c:pt idx="4">
                  <c:v>6.9767441860465119E-6</c:v>
                </c:pt>
                <c:pt idx="5">
                  <c:v>9.090909090909091E-6</c:v>
                </c:pt>
                <c:pt idx="6">
                  <c:v>2.2421524663677129E-5</c:v>
                </c:pt>
                <c:pt idx="7">
                  <c:v>4.3859649122807014E-5</c:v>
                </c:pt>
                <c:pt idx="8">
                  <c:v>6.4377682403433481E-5</c:v>
                </c:pt>
                <c:pt idx="9">
                  <c:v>8.4033613445378154E-5</c:v>
                </c:pt>
                <c:pt idx="10">
                  <c:v>1.6666666666666666E-4</c:v>
                </c:pt>
                <c:pt idx="11">
                  <c:v>4.0650406504065041E-4</c:v>
                </c:pt>
              </c:numCache>
            </c:numRef>
          </c:xVal>
          <c:yVal>
            <c:numRef>
              <c:f>'REAL CONDITIONS'!$N$27:$N$38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16-4DBB-B7E6-DD50C5EE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85456"/>
        <c:axId val="1072985784"/>
      </c:scatterChart>
      <c:valAx>
        <c:axId val="107298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+mj-lt"/>
                  </a:defRPr>
                </a:pPr>
                <a:r>
                  <a:rPr lang="en-US">
                    <a:latin typeface="+mj-lt"/>
                  </a:rPr>
                  <a:t>[G]</a:t>
                </a:r>
                <a:r>
                  <a:rPr lang="en-US" baseline="-25000">
                    <a:latin typeface="+mj-lt"/>
                  </a:rPr>
                  <a:t>0</a:t>
                </a:r>
              </a:p>
            </c:rich>
          </c:tx>
          <c:overlay val="0"/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2985784"/>
        <c:crosses val="autoZero"/>
        <c:crossBetween val="midCat"/>
      </c:valAx>
      <c:valAx>
        <c:axId val="107298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Absorption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29854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binding isoterm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'REAL CONDITIONS'!$L$26</c:f>
              <c:strCache>
                <c:ptCount val="1"/>
                <c:pt idx="0">
                  <c:v>467 nm (exp.)</c:v>
                </c:pt>
              </c:strCache>
            </c:strRef>
          </c:tx>
          <c:spPr>
            <a:ln w="12700">
              <a:noFill/>
              <a:prstDash val="sysDot"/>
            </a:ln>
          </c:spPr>
          <c:marker>
            <c:symbol val="circle"/>
            <c:size val="5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CONDITIONS'!$L$27:$L$38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C2-4E01-BD2B-AE77C800C965}"/>
            </c:ext>
          </c:extLst>
        </c:ser>
        <c:ser>
          <c:idx val="0"/>
          <c:order val="1"/>
          <c:tx>
            <c:strRef>
              <c:f>'REAL CONDITIONS'!$M$26</c:f>
              <c:strCache>
                <c:ptCount val="1"/>
                <c:pt idx="0">
                  <c:v>368 nm (exp.)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CONDITIONS'!$M$27:$M$38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C2-4E01-BD2B-AE77C800C965}"/>
            </c:ext>
          </c:extLst>
        </c:ser>
        <c:ser>
          <c:idx val="2"/>
          <c:order val="2"/>
          <c:tx>
            <c:strRef>
              <c:f>'REAL CONDITIONS'!$N$26</c:f>
              <c:strCache>
                <c:ptCount val="1"/>
                <c:pt idx="0">
                  <c:v>408 nm (exp.)</c:v>
                </c:pt>
              </c:strCache>
            </c:strRef>
          </c:tx>
          <c:spPr>
            <a:ln w="12700">
              <a:noFill/>
              <a:prstDash val="sysDot"/>
            </a:ln>
          </c:spPr>
          <c:marker>
            <c:symbol val="circle"/>
            <c:size val="5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CONDITIONS'!$N$27:$N$38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C2-4E01-BD2B-AE77C800C965}"/>
            </c:ext>
          </c:extLst>
        </c:ser>
        <c:ser>
          <c:idx val="3"/>
          <c:order val="3"/>
          <c:tx>
            <c:strRef>
              <c:f>'REAL CONDITIONS'!$O$26</c:f>
              <c:strCache>
                <c:ptCount val="1"/>
                <c:pt idx="0">
                  <c:v>467 nm (calc.)</c:v>
                </c:pt>
              </c:strCache>
            </c:strRef>
          </c:tx>
          <c:spPr>
            <a:ln w="12700">
              <a:solidFill>
                <a:schemeClr val="accent4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CONDITIONS'!$O$27:$O$38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C2-4E01-BD2B-AE77C800C965}"/>
            </c:ext>
          </c:extLst>
        </c:ser>
        <c:ser>
          <c:idx val="4"/>
          <c:order val="4"/>
          <c:tx>
            <c:strRef>
              <c:f>'REAL CONDITIONS'!$P$26</c:f>
              <c:strCache>
                <c:ptCount val="1"/>
                <c:pt idx="0">
                  <c:v>368 nm (calc.)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CONDITIONS'!$P$27:$P$38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C2-4E01-BD2B-AE77C800C965}"/>
            </c:ext>
          </c:extLst>
        </c:ser>
        <c:ser>
          <c:idx val="5"/>
          <c:order val="5"/>
          <c:tx>
            <c:strRef>
              <c:f>'REAL CONDITIONS'!$Q$26</c:f>
              <c:strCache>
                <c:ptCount val="1"/>
                <c:pt idx="0">
                  <c:v>408 nm (calc.)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'REAL CONDITIONS'!$K$27:$K$38</c:f>
              <c:numCache>
                <c:formatCode>0.00</c:formatCode>
                <c:ptCount val="12"/>
                <c:pt idx="0">
                  <c:v>0</c:v>
                </c:pt>
                <c:pt idx="1">
                  <c:v>9.9009900990099028E-2</c:v>
                </c:pt>
                <c:pt idx="2">
                  <c:v>0.24390243902439027</c:v>
                </c:pt>
                <c:pt idx="3">
                  <c:v>0.47619047619047622</c:v>
                </c:pt>
                <c:pt idx="4">
                  <c:v>0.69767441860465118</c:v>
                </c:pt>
                <c:pt idx="5">
                  <c:v>0.90909090909090906</c:v>
                </c:pt>
                <c:pt idx="6">
                  <c:v>2.2421524663677128</c:v>
                </c:pt>
                <c:pt idx="7">
                  <c:v>4.3859649122807012</c:v>
                </c:pt>
                <c:pt idx="8">
                  <c:v>6.4377682403433472</c:v>
                </c:pt>
                <c:pt idx="9">
                  <c:v>8.4033613445378155</c:v>
                </c:pt>
                <c:pt idx="10">
                  <c:v>16.666666666666664</c:v>
                </c:pt>
                <c:pt idx="11">
                  <c:v>40.650406504065039</c:v>
                </c:pt>
              </c:numCache>
            </c:numRef>
          </c:xVal>
          <c:yVal>
            <c:numRef>
              <c:f>'REAL CONDITIONS'!$Q$27:$Q$38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C2-4E01-BD2B-AE77C800C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985456"/>
        <c:axId val="1072985784"/>
      </c:scatterChart>
      <c:valAx>
        <c:axId val="1072985456"/>
        <c:scaling>
          <c:logBase val="10"/>
          <c:orientation val="minMax"/>
          <c:max val="5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>
                    <a:latin typeface="+mj-lt"/>
                  </a:defRPr>
                </a:pPr>
                <a:r>
                  <a:rPr lang="en-US">
                    <a:latin typeface="+mj-lt"/>
                  </a:rPr>
                  <a:t>[G]</a:t>
                </a:r>
                <a:r>
                  <a:rPr lang="en-US" baseline="-25000">
                    <a:latin typeface="+mj-lt"/>
                  </a:rPr>
                  <a:t>0</a:t>
                </a:r>
                <a:r>
                  <a:rPr lang="en-US">
                    <a:latin typeface="+mj-lt"/>
                  </a:rPr>
                  <a:t>/[H]</a:t>
                </a:r>
                <a:r>
                  <a:rPr lang="en-US" baseline="-25000">
                    <a:latin typeface="+mj-lt"/>
                  </a:rPr>
                  <a:t>0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2985784"/>
        <c:crosses val="autoZero"/>
        <c:crossBetween val="midCat"/>
      </c:valAx>
      <c:valAx>
        <c:axId val="1072985784"/>
        <c:scaling>
          <c:orientation val="minMax"/>
          <c:max val="0.18000000000000002"/>
          <c:min val="4.0000000000000008E-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Absorption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2985456"/>
        <c:crosses val="max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2366976855167"/>
          <c:y val="3.8194444444444448E-2"/>
          <c:w val="0.82362582518094329"/>
          <c:h val="0.818789916885389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'UV-vis results'!$B$2</c:f>
              <c:strCache>
                <c:ptCount val="1"/>
                <c:pt idx="0">
                  <c:v>0 Ba</c:v>
                </c:pt>
              </c:strCache>
            </c:strRef>
          </c:tx>
          <c:spPr>
            <a:ln w="19050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results'!$B$3:$B$603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46-4055-BFA9-514F0491C22C}"/>
            </c:ext>
          </c:extLst>
        </c:ser>
        <c:ser>
          <c:idx val="1"/>
          <c:order val="1"/>
          <c:tx>
            <c:strRef>
              <c:f>'UV-vis results'!$C$2</c:f>
              <c:strCache>
                <c:ptCount val="1"/>
                <c:pt idx="0">
                  <c:v>0.1 Ba</c:v>
                </c:pt>
              </c:strCache>
            </c:strRef>
          </c:tx>
          <c:spPr>
            <a:ln w="1905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results'!$C$3:$C$603</c:f>
              <c:numCache>
                <c:formatCode>0.00E+00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46-4055-BFA9-514F0491C22C}"/>
            </c:ext>
          </c:extLst>
        </c:ser>
        <c:ser>
          <c:idx val="2"/>
          <c:order val="2"/>
          <c:tx>
            <c:strRef>
              <c:f>'UV-vis results'!$D$2</c:f>
              <c:strCache>
                <c:ptCount val="1"/>
                <c:pt idx="0">
                  <c:v>0.25Ba</c:v>
                </c:pt>
              </c:strCache>
            </c:strRef>
          </c:tx>
          <c:spPr>
            <a:ln w="19050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results'!$D$3:$D$603</c:f>
              <c:numCache>
                <c:formatCode>0.00E+00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46-4055-BFA9-514F0491C22C}"/>
            </c:ext>
          </c:extLst>
        </c:ser>
        <c:ser>
          <c:idx val="3"/>
          <c:order val="3"/>
          <c:tx>
            <c:strRef>
              <c:f>'UV-vis results'!$E$2</c:f>
              <c:strCache>
                <c:ptCount val="1"/>
                <c:pt idx="0">
                  <c:v>0.5 Ba</c:v>
                </c:pt>
              </c:strCache>
            </c:strRef>
          </c:tx>
          <c:spPr>
            <a:ln w="19050" cap="rnd">
              <a:solidFill>
                <a:srgbClr val="6699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results'!$E$3:$E$603</c:f>
              <c:numCache>
                <c:formatCode>0.00E+00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46-4055-BFA9-514F0491C22C}"/>
            </c:ext>
          </c:extLst>
        </c:ser>
        <c:ser>
          <c:idx val="4"/>
          <c:order val="4"/>
          <c:tx>
            <c:strRef>
              <c:f>'UV-vis results'!$F$2</c:f>
              <c:strCache>
                <c:ptCount val="1"/>
                <c:pt idx="0">
                  <c:v>0.75 Ba</c:v>
                </c:pt>
              </c:strCache>
            </c:strRef>
          </c:tx>
          <c:spPr>
            <a:ln w="19050" cap="rnd">
              <a:solidFill>
                <a:srgbClr val="99CC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results'!$F$3:$F$603</c:f>
              <c:numCache>
                <c:formatCode>0.00E+00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446-4055-BFA9-514F0491C22C}"/>
            </c:ext>
          </c:extLst>
        </c:ser>
        <c:ser>
          <c:idx val="5"/>
          <c:order val="5"/>
          <c:tx>
            <c:strRef>
              <c:f>'UV-vis results'!$G$2</c:f>
              <c:strCache>
                <c:ptCount val="1"/>
                <c:pt idx="0">
                  <c:v>1 Ba</c:v>
                </c:pt>
              </c:strCache>
            </c:strRef>
          </c:tx>
          <c:spPr>
            <a:ln w="1905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results'!$G$3:$G$603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446-4055-BFA9-514F0491C22C}"/>
            </c:ext>
          </c:extLst>
        </c:ser>
        <c:ser>
          <c:idx val="6"/>
          <c:order val="6"/>
          <c:tx>
            <c:strRef>
              <c:f>'UV-vis results'!$H$2</c:f>
              <c:strCache>
                <c:ptCount val="1"/>
                <c:pt idx="0">
                  <c:v>2.5 Ba</c:v>
                </c:pt>
              </c:strCache>
            </c:strRef>
          </c:tx>
          <c:spPr>
            <a:ln w="19050" cap="rnd">
              <a:solidFill>
                <a:srgbClr val="CC99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results'!$H$3:$H$603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446-4055-BFA9-514F0491C22C}"/>
            </c:ext>
          </c:extLst>
        </c:ser>
        <c:ser>
          <c:idx val="7"/>
          <c:order val="7"/>
          <c:tx>
            <c:strRef>
              <c:f>'UV-vis results'!$I$2</c:f>
              <c:strCache>
                <c:ptCount val="1"/>
                <c:pt idx="0">
                  <c:v>5 Ba</c:v>
                </c:pt>
              </c:strCache>
            </c:strRef>
          </c:tx>
          <c:spPr>
            <a:ln w="19050" cap="rnd">
              <a:solidFill>
                <a:srgbClr val="9966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results'!$I$3:$I$603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446-4055-BFA9-514F0491C22C}"/>
            </c:ext>
          </c:extLst>
        </c:ser>
        <c:ser>
          <c:idx val="8"/>
          <c:order val="8"/>
          <c:tx>
            <c:strRef>
              <c:f>'UV-vis results'!$J$2</c:f>
              <c:strCache>
                <c:ptCount val="1"/>
                <c:pt idx="0">
                  <c:v>7.5 Ba</c:v>
                </c:pt>
              </c:strCache>
            </c:strRef>
          </c:tx>
          <c:spPr>
            <a:ln w="19050" cap="rnd">
              <a:solidFill>
                <a:srgbClr val="9933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results'!$J$3:$J$603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446-4055-BFA9-514F0491C22C}"/>
            </c:ext>
          </c:extLst>
        </c:ser>
        <c:ser>
          <c:idx val="9"/>
          <c:order val="9"/>
          <c:tx>
            <c:strRef>
              <c:f>'UV-vis results'!$K$2</c:f>
              <c:strCache>
                <c:ptCount val="1"/>
                <c:pt idx="0">
                  <c:v>10 Ba</c:v>
                </c:pt>
              </c:strCache>
            </c:strRef>
          </c:tx>
          <c:spPr>
            <a:ln w="19050" cap="rnd">
              <a:solidFill>
                <a:srgbClr val="9900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results'!$K$3:$K$603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446-4055-BFA9-514F0491C22C}"/>
            </c:ext>
          </c:extLst>
        </c:ser>
        <c:ser>
          <c:idx val="10"/>
          <c:order val="10"/>
          <c:tx>
            <c:strRef>
              <c:f>'UV-vis results'!$L$2</c:f>
              <c:strCache>
                <c:ptCount val="1"/>
                <c:pt idx="0">
                  <c:v>20 Ba</c:v>
                </c:pt>
              </c:strCache>
            </c:strRef>
          </c:tx>
          <c:spPr>
            <a:ln w="1905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results'!$L$3:$L$603</c:f>
              <c:numCache>
                <c:formatCode>0.00E+00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446-4055-BFA9-514F0491C22C}"/>
            </c:ext>
          </c:extLst>
        </c:ser>
        <c:ser>
          <c:idx val="11"/>
          <c:order val="11"/>
          <c:tx>
            <c:strRef>
              <c:f>'UV-vis results'!$M$2</c:f>
              <c:strCache>
                <c:ptCount val="1"/>
                <c:pt idx="0">
                  <c:v>50 Ba</c:v>
                </c:pt>
              </c:strCache>
            </c:strRef>
          </c:tx>
          <c:spPr>
            <a:ln w="19050" cap="rnd">
              <a:solidFill>
                <a:srgbClr val="5000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results'!$M$3:$M$603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446-4055-BFA9-514F0491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30104"/>
        <c:axId val="1279431088"/>
      </c:scatterChart>
      <c:valAx>
        <c:axId val="1279430104"/>
        <c:scaling>
          <c:orientation val="minMax"/>
          <c:max val="600"/>
          <c:min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l</a:t>
                </a:r>
                <a:r>
                  <a:rPr lang="en-US">
                    <a:solidFill>
                      <a:sysClr val="windowText" lastClr="000000"/>
                    </a:solidFill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9431088"/>
        <c:crosses val="autoZero"/>
        <c:crossBetween val="midCat"/>
      </c:valAx>
      <c:valAx>
        <c:axId val="1279431088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Absortion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9430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39769744691004"/>
          <c:y val="8.9408902012248478E-2"/>
          <c:w val="0.23602302553089954"/>
          <c:h val="0.63975776465441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'UV-vis results'!$B$2</c:f>
              <c:strCache>
                <c:ptCount val="1"/>
                <c:pt idx="0">
                  <c:v>0 Ba</c:v>
                </c:pt>
              </c:strCache>
            </c:strRef>
          </c:tx>
          <c:spPr>
            <a:ln w="19050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results'!$B$3:$B$603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16-4921-8ABD-46179477A5F6}"/>
            </c:ext>
          </c:extLst>
        </c:ser>
        <c:ser>
          <c:idx val="10"/>
          <c:order val="1"/>
          <c:tx>
            <c:strRef>
              <c:f>'UV-vis results'!$M$2</c:f>
              <c:strCache>
                <c:ptCount val="1"/>
                <c:pt idx="0">
                  <c:v>50 Ba</c:v>
                </c:pt>
              </c:strCache>
            </c:strRef>
          </c:tx>
          <c:spPr>
            <a:ln w="19050" cap="rnd">
              <a:solidFill>
                <a:srgbClr val="500000"/>
              </a:solidFill>
              <a:round/>
            </a:ln>
            <a:effectLst/>
          </c:spPr>
          <c:marker>
            <c:symbol val="none"/>
          </c:marker>
          <c:xVal>
            <c:numRef>
              <c:f>'UV-vis results'!$A$3:$A$603</c:f>
              <c:numCache>
                <c:formatCode>General</c:formatCode>
                <c:ptCount val="601"/>
                <c:pt idx="0">
                  <c:v>800</c:v>
                </c:pt>
                <c:pt idx="1">
                  <c:v>799</c:v>
                </c:pt>
                <c:pt idx="2">
                  <c:v>798</c:v>
                </c:pt>
                <c:pt idx="3">
                  <c:v>797</c:v>
                </c:pt>
                <c:pt idx="4">
                  <c:v>796</c:v>
                </c:pt>
                <c:pt idx="5">
                  <c:v>795</c:v>
                </c:pt>
                <c:pt idx="6">
                  <c:v>794</c:v>
                </c:pt>
                <c:pt idx="7">
                  <c:v>793</c:v>
                </c:pt>
                <c:pt idx="8">
                  <c:v>792</c:v>
                </c:pt>
                <c:pt idx="9">
                  <c:v>791</c:v>
                </c:pt>
                <c:pt idx="10">
                  <c:v>790</c:v>
                </c:pt>
                <c:pt idx="11">
                  <c:v>789</c:v>
                </c:pt>
                <c:pt idx="12">
                  <c:v>788</c:v>
                </c:pt>
                <c:pt idx="13">
                  <c:v>787</c:v>
                </c:pt>
                <c:pt idx="14">
                  <c:v>786</c:v>
                </c:pt>
                <c:pt idx="15">
                  <c:v>785</c:v>
                </c:pt>
                <c:pt idx="16">
                  <c:v>784</c:v>
                </c:pt>
                <c:pt idx="17">
                  <c:v>783</c:v>
                </c:pt>
                <c:pt idx="18">
                  <c:v>782</c:v>
                </c:pt>
                <c:pt idx="19">
                  <c:v>781</c:v>
                </c:pt>
                <c:pt idx="20">
                  <c:v>780</c:v>
                </c:pt>
                <c:pt idx="21">
                  <c:v>779</c:v>
                </c:pt>
                <c:pt idx="22">
                  <c:v>778</c:v>
                </c:pt>
                <c:pt idx="23">
                  <c:v>777</c:v>
                </c:pt>
                <c:pt idx="24">
                  <c:v>776</c:v>
                </c:pt>
                <c:pt idx="25">
                  <c:v>775</c:v>
                </c:pt>
                <c:pt idx="26">
                  <c:v>774</c:v>
                </c:pt>
                <c:pt idx="27">
                  <c:v>773</c:v>
                </c:pt>
                <c:pt idx="28">
                  <c:v>772</c:v>
                </c:pt>
                <c:pt idx="29">
                  <c:v>771</c:v>
                </c:pt>
                <c:pt idx="30">
                  <c:v>770</c:v>
                </c:pt>
                <c:pt idx="31">
                  <c:v>769</c:v>
                </c:pt>
                <c:pt idx="32">
                  <c:v>768</c:v>
                </c:pt>
                <c:pt idx="33">
                  <c:v>767</c:v>
                </c:pt>
                <c:pt idx="34">
                  <c:v>766</c:v>
                </c:pt>
                <c:pt idx="35">
                  <c:v>765</c:v>
                </c:pt>
                <c:pt idx="36">
                  <c:v>764</c:v>
                </c:pt>
                <c:pt idx="37">
                  <c:v>763</c:v>
                </c:pt>
                <c:pt idx="38">
                  <c:v>762</c:v>
                </c:pt>
                <c:pt idx="39">
                  <c:v>761</c:v>
                </c:pt>
                <c:pt idx="40">
                  <c:v>760</c:v>
                </c:pt>
                <c:pt idx="41">
                  <c:v>759</c:v>
                </c:pt>
                <c:pt idx="42">
                  <c:v>758</c:v>
                </c:pt>
                <c:pt idx="43">
                  <c:v>757</c:v>
                </c:pt>
                <c:pt idx="44">
                  <c:v>756</c:v>
                </c:pt>
                <c:pt idx="45">
                  <c:v>755</c:v>
                </c:pt>
                <c:pt idx="46">
                  <c:v>754</c:v>
                </c:pt>
                <c:pt idx="47">
                  <c:v>753</c:v>
                </c:pt>
                <c:pt idx="48">
                  <c:v>752</c:v>
                </c:pt>
                <c:pt idx="49">
                  <c:v>751</c:v>
                </c:pt>
                <c:pt idx="50">
                  <c:v>750</c:v>
                </c:pt>
                <c:pt idx="51">
                  <c:v>749</c:v>
                </c:pt>
                <c:pt idx="52">
                  <c:v>748</c:v>
                </c:pt>
                <c:pt idx="53">
                  <c:v>747</c:v>
                </c:pt>
                <c:pt idx="54">
                  <c:v>746</c:v>
                </c:pt>
                <c:pt idx="55">
                  <c:v>745</c:v>
                </c:pt>
                <c:pt idx="56">
                  <c:v>744</c:v>
                </c:pt>
                <c:pt idx="57">
                  <c:v>743</c:v>
                </c:pt>
                <c:pt idx="58">
                  <c:v>742</c:v>
                </c:pt>
                <c:pt idx="59">
                  <c:v>741</c:v>
                </c:pt>
                <c:pt idx="60">
                  <c:v>740</c:v>
                </c:pt>
                <c:pt idx="61">
                  <c:v>739</c:v>
                </c:pt>
                <c:pt idx="62">
                  <c:v>738</c:v>
                </c:pt>
                <c:pt idx="63">
                  <c:v>737</c:v>
                </c:pt>
                <c:pt idx="64">
                  <c:v>736</c:v>
                </c:pt>
                <c:pt idx="65">
                  <c:v>735</c:v>
                </c:pt>
                <c:pt idx="66">
                  <c:v>734</c:v>
                </c:pt>
                <c:pt idx="67">
                  <c:v>733</c:v>
                </c:pt>
                <c:pt idx="68">
                  <c:v>732</c:v>
                </c:pt>
                <c:pt idx="69">
                  <c:v>731</c:v>
                </c:pt>
                <c:pt idx="70">
                  <c:v>730</c:v>
                </c:pt>
                <c:pt idx="71">
                  <c:v>729</c:v>
                </c:pt>
                <c:pt idx="72">
                  <c:v>728</c:v>
                </c:pt>
                <c:pt idx="73">
                  <c:v>727</c:v>
                </c:pt>
                <c:pt idx="74">
                  <c:v>726</c:v>
                </c:pt>
                <c:pt idx="75">
                  <c:v>725</c:v>
                </c:pt>
                <c:pt idx="76">
                  <c:v>724</c:v>
                </c:pt>
                <c:pt idx="77">
                  <c:v>723</c:v>
                </c:pt>
                <c:pt idx="78">
                  <c:v>722</c:v>
                </c:pt>
                <c:pt idx="79">
                  <c:v>721</c:v>
                </c:pt>
                <c:pt idx="80">
                  <c:v>720</c:v>
                </c:pt>
                <c:pt idx="81">
                  <c:v>719</c:v>
                </c:pt>
                <c:pt idx="82">
                  <c:v>718</c:v>
                </c:pt>
                <c:pt idx="83">
                  <c:v>717</c:v>
                </c:pt>
                <c:pt idx="84">
                  <c:v>716</c:v>
                </c:pt>
                <c:pt idx="85">
                  <c:v>715</c:v>
                </c:pt>
                <c:pt idx="86">
                  <c:v>714</c:v>
                </c:pt>
                <c:pt idx="87">
                  <c:v>713</c:v>
                </c:pt>
                <c:pt idx="88">
                  <c:v>712</c:v>
                </c:pt>
                <c:pt idx="89">
                  <c:v>711</c:v>
                </c:pt>
                <c:pt idx="90">
                  <c:v>710</c:v>
                </c:pt>
                <c:pt idx="91">
                  <c:v>709</c:v>
                </c:pt>
                <c:pt idx="92">
                  <c:v>708</c:v>
                </c:pt>
                <c:pt idx="93">
                  <c:v>707</c:v>
                </c:pt>
                <c:pt idx="94">
                  <c:v>706</c:v>
                </c:pt>
                <c:pt idx="95">
                  <c:v>705</c:v>
                </c:pt>
                <c:pt idx="96">
                  <c:v>704</c:v>
                </c:pt>
                <c:pt idx="97">
                  <c:v>703</c:v>
                </c:pt>
                <c:pt idx="98">
                  <c:v>702</c:v>
                </c:pt>
                <c:pt idx="99">
                  <c:v>701</c:v>
                </c:pt>
                <c:pt idx="100">
                  <c:v>700</c:v>
                </c:pt>
                <c:pt idx="101">
                  <c:v>699</c:v>
                </c:pt>
                <c:pt idx="102">
                  <c:v>698</c:v>
                </c:pt>
                <c:pt idx="103">
                  <c:v>697</c:v>
                </c:pt>
                <c:pt idx="104">
                  <c:v>696</c:v>
                </c:pt>
                <c:pt idx="105">
                  <c:v>695</c:v>
                </c:pt>
                <c:pt idx="106">
                  <c:v>694</c:v>
                </c:pt>
                <c:pt idx="107">
                  <c:v>693</c:v>
                </c:pt>
                <c:pt idx="108">
                  <c:v>692</c:v>
                </c:pt>
                <c:pt idx="109">
                  <c:v>691</c:v>
                </c:pt>
                <c:pt idx="110">
                  <c:v>690</c:v>
                </c:pt>
                <c:pt idx="111">
                  <c:v>689</c:v>
                </c:pt>
                <c:pt idx="112">
                  <c:v>688</c:v>
                </c:pt>
                <c:pt idx="113">
                  <c:v>687</c:v>
                </c:pt>
                <c:pt idx="114">
                  <c:v>686</c:v>
                </c:pt>
                <c:pt idx="115">
                  <c:v>685</c:v>
                </c:pt>
                <c:pt idx="116">
                  <c:v>684</c:v>
                </c:pt>
                <c:pt idx="117">
                  <c:v>683</c:v>
                </c:pt>
                <c:pt idx="118">
                  <c:v>682</c:v>
                </c:pt>
                <c:pt idx="119">
                  <c:v>681</c:v>
                </c:pt>
                <c:pt idx="120">
                  <c:v>680</c:v>
                </c:pt>
                <c:pt idx="121">
                  <c:v>679</c:v>
                </c:pt>
                <c:pt idx="122">
                  <c:v>678</c:v>
                </c:pt>
                <c:pt idx="123">
                  <c:v>677</c:v>
                </c:pt>
                <c:pt idx="124">
                  <c:v>676</c:v>
                </c:pt>
                <c:pt idx="125">
                  <c:v>675</c:v>
                </c:pt>
                <c:pt idx="126">
                  <c:v>674</c:v>
                </c:pt>
                <c:pt idx="127">
                  <c:v>673</c:v>
                </c:pt>
                <c:pt idx="128">
                  <c:v>672</c:v>
                </c:pt>
                <c:pt idx="129">
                  <c:v>671</c:v>
                </c:pt>
                <c:pt idx="130">
                  <c:v>670</c:v>
                </c:pt>
                <c:pt idx="131">
                  <c:v>669</c:v>
                </c:pt>
                <c:pt idx="132">
                  <c:v>668</c:v>
                </c:pt>
                <c:pt idx="133">
                  <c:v>667</c:v>
                </c:pt>
                <c:pt idx="134">
                  <c:v>666</c:v>
                </c:pt>
                <c:pt idx="135">
                  <c:v>665</c:v>
                </c:pt>
                <c:pt idx="136">
                  <c:v>664</c:v>
                </c:pt>
                <c:pt idx="137">
                  <c:v>663</c:v>
                </c:pt>
                <c:pt idx="138">
                  <c:v>662</c:v>
                </c:pt>
                <c:pt idx="139">
                  <c:v>661</c:v>
                </c:pt>
                <c:pt idx="140">
                  <c:v>660</c:v>
                </c:pt>
                <c:pt idx="141">
                  <c:v>659</c:v>
                </c:pt>
                <c:pt idx="142">
                  <c:v>658</c:v>
                </c:pt>
                <c:pt idx="143">
                  <c:v>657</c:v>
                </c:pt>
                <c:pt idx="144">
                  <c:v>656</c:v>
                </c:pt>
                <c:pt idx="145">
                  <c:v>655</c:v>
                </c:pt>
                <c:pt idx="146">
                  <c:v>654</c:v>
                </c:pt>
                <c:pt idx="147">
                  <c:v>653</c:v>
                </c:pt>
                <c:pt idx="148">
                  <c:v>652</c:v>
                </c:pt>
                <c:pt idx="149">
                  <c:v>651</c:v>
                </c:pt>
                <c:pt idx="150">
                  <c:v>650</c:v>
                </c:pt>
                <c:pt idx="151">
                  <c:v>649</c:v>
                </c:pt>
                <c:pt idx="152">
                  <c:v>648</c:v>
                </c:pt>
                <c:pt idx="153">
                  <c:v>647</c:v>
                </c:pt>
                <c:pt idx="154">
                  <c:v>646</c:v>
                </c:pt>
                <c:pt idx="155">
                  <c:v>645</c:v>
                </c:pt>
                <c:pt idx="156">
                  <c:v>644</c:v>
                </c:pt>
                <c:pt idx="157">
                  <c:v>643</c:v>
                </c:pt>
                <c:pt idx="158">
                  <c:v>642</c:v>
                </c:pt>
                <c:pt idx="159">
                  <c:v>641</c:v>
                </c:pt>
                <c:pt idx="160">
                  <c:v>640</c:v>
                </c:pt>
                <c:pt idx="161">
                  <c:v>639</c:v>
                </c:pt>
                <c:pt idx="162">
                  <c:v>638</c:v>
                </c:pt>
                <c:pt idx="163">
                  <c:v>637</c:v>
                </c:pt>
                <c:pt idx="164">
                  <c:v>636</c:v>
                </c:pt>
                <c:pt idx="165">
                  <c:v>635</c:v>
                </c:pt>
                <c:pt idx="166">
                  <c:v>634</c:v>
                </c:pt>
                <c:pt idx="167">
                  <c:v>633</c:v>
                </c:pt>
                <c:pt idx="168">
                  <c:v>632</c:v>
                </c:pt>
                <c:pt idx="169">
                  <c:v>631</c:v>
                </c:pt>
                <c:pt idx="170">
                  <c:v>630</c:v>
                </c:pt>
                <c:pt idx="171">
                  <c:v>629</c:v>
                </c:pt>
                <c:pt idx="172">
                  <c:v>628</c:v>
                </c:pt>
                <c:pt idx="173">
                  <c:v>627</c:v>
                </c:pt>
                <c:pt idx="174">
                  <c:v>626</c:v>
                </c:pt>
                <c:pt idx="175">
                  <c:v>625</c:v>
                </c:pt>
                <c:pt idx="176">
                  <c:v>624</c:v>
                </c:pt>
                <c:pt idx="177">
                  <c:v>623</c:v>
                </c:pt>
                <c:pt idx="178">
                  <c:v>622</c:v>
                </c:pt>
                <c:pt idx="179">
                  <c:v>621</c:v>
                </c:pt>
                <c:pt idx="180">
                  <c:v>620</c:v>
                </c:pt>
                <c:pt idx="181">
                  <c:v>619</c:v>
                </c:pt>
                <c:pt idx="182">
                  <c:v>618</c:v>
                </c:pt>
                <c:pt idx="183">
                  <c:v>617</c:v>
                </c:pt>
                <c:pt idx="184">
                  <c:v>616</c:v>
                </c:pt>
                <c:pt idx="185">
                  <c:v>615</c:v>
                </c:pt>
                <c:pt idx="186">
                  <c:v>614</c:v>
                </c:pt>
                <c:pt idx="187">
                  <c:v>613</c:v>
                </c:pt>
                <c:pt idx="188">
                  <c:v>612</c:v>
                </c:pt>
                <c:pt idx="189">
                  <c:v>611</c:v>
                </c:pt>
                <c:pt idx="190">
                  <c:v>610</c:v>
                </c:pt>
                <c:pt idx="191">
                  <c:v>609</c:v>
                </c:pt>
                <c:pt idx="192">
                  <c:v>608</c:v>
                </c:pt>
                <c:pt idx="193">
                  <c:v>607</c:v>
                </c:pt>
                <c:pt idx="194">
                  <c:v>606</c:v>
                </c:pt>
                <c:pt idx="195">
                  <c:v>605</c:v>
                </c:pt>
                <c:pt idx="196">
                  <c:v>604</c:v>
                </c:pt>
                <c:pt idx="197">
                  <c:v>603</c:v>
                </c:pt>
                <c:pt idx="198">
                  <c:v>602</c:v>
                </c:pt>
                <c:pt idx="199">
                  <c:v>601</c:v>
                </c:pt>
                <c:pt idx="200">
                  <c:v>600</c:v>
                </c:pt>
                <c:pt idx="201">
                  <c:v>599</c:v>
                </c:pt>
                <c:pt idx="202">
                  <c:v>598</c:v>
                </c:pt>
                <c:pt idx="203">
                  <c:v>597</c:v>
                </c:pt>
                <c:pt idx="204">
                  <c:v>596</c:v>
                </c:pt>
                <c:pt idx="205">
                  <c:v>595</c:v>
                </c:pt>
                <c:pt idx="206">
                  <c:v>594</c:v>
                </c:pt>
                <c:pt idx="207">
                  <c:v>593</c:v>
                </c:pt>
                <c:pt idx="208">
                  <c:v>592</c:v>
                </c:pt>
                <c:pt idx="209">
                  <c:v>591</c:v>
                </c:pt>
                <c:pt idx="210">
                  <c:v>590</c:v>
                </c:pt>
                <c:pt idx="211">
                  <c:v>589</c:v>
                </c:pt>
                <c:pt idx="212">
                  <c:v>588</c:v>
                </c:pt>
                <c:pt idx="213">
                  <c:v>587</c:v>
                </c:pt>
                <c:pt idx="214">
                  <c:v>586</c:v>
                </c:pt>
                <c:pt idx="215">
                  <c:v>585</c:v>
                </c:pt>
                <c:pt idx="216">
                  <c:v>584</c:v>
                </c:pt>
                <c:pt idx="217">
                  <c:v>583</c:v>
                </c:pt>
                <c:pt idx="218">
                  <c:v>582</c:v>
                </c:pt>
                <c:pt idx="219">
                  <c:v>581</c:v>
                </c:pt>
                <c:pt idx="220">
                  <c:v>580</c:v>
                </c:pt>
                <c:pt idx="221">
                  <c:v>579</c:v>
                </c:pt>
                <c:pt idx="222">
                  <c:v>578</c:v>
                </c:pt>
                <c:pt idx="223">
                  <c:v>577</c:v>
                </c:pt>
                <c:pt idx="224">
                  <c:v>576</c:v>
                </c:pt>
                <c:pt idx="225">
                  <c:v>575</c:v>
                </c:pt>
                <c:pt idx="226">
                  <c:v>574</c:v>
                </c:pt>
                <c:pt idx="227">
                  <c:v>573</c:v>
                </c:pt>
                <c:pt idx="228">
                  <c:v>572</c:v>
                </c:pt>
                <c:pt idx="229">
                  <c:v>571</c:v>
                </c:pt>
                <c:pt idx="230">
                  <c:v>570</c:v>
                </c:pt>
                <c:pt idx="231">
                  <c:v>569</c:v>
                </c:pt>
                <c:pt idx="232">
                  <c:v>568</c:v>
                </c:pt>
                <c:pt idx="233">
                  <c:v>567</c:v>
                </c:pt>
                <c:pt idx="234">
                  <c:v>566</c:v>
                </c:pt>
                <c:pt idx="235">
                  <c:v>565</c:v>
                </c:pt>
                <c:pt idx="236">
                  <c:v>564</c:v>
                </c:pt>
                <c:pt idx="237">
                  <c:v>563</c:v>
                </c:pt>
                <c:pt idx="238">
                  <c:v>562</c:v>
                </c:pt>
                <c:pt idx="239">
                  <c:v>561</c:v>
                </c:pt>
                <c:pt idx="240">
                  <c:v>560</c:v>
                </c:pt>
                <c:pt idx="241">
                  <c:v>559</c:v>
                </c:pt>
                <c:pt idx="242">
                  <c:v>558</c:v>
                </c:pt>
                <c:pt idx="243">
                  <c:v>557</c:v>
                </c:pt>
                <c:pt idx="244">
                  <c:v>556</c:v>
                </c:pt>
                <c:pt idx="245">
                  <c:v>555</c:v>
                </c:pt>
                <c:pt idx="246">
                  <c:v>554</c:v>
                </c:pt>
                <c:pt idx="247">
                  <c:v>553</c:v>
                </c:pt>
                <c:pt idx="248">
                  <c:v>552</c:v>
                </c:pt>
                <c:pt idx="249">
                  <c:v>551</c:v>
                </c:pt>
                <c:pt idx="250">
                  <c:v>550</c:v>
                </c:pt>
                <c:pt idx="251">
                  <c:v>549</c:v>
                </c:pt>
                <c:pt idx="252">
                  <c:v>548</c:v>
                </c:pt>
                <c:pt idx="253">
                  <c:v>547</c:v>
                </c:pt>
                <c:pt idx="254">
                  <c:v>546</c:v>
                </c:pt>
                <c:pt idx="255">
                  <c:v>545</c:v>
                </c:pt>
                <c:pt idx="256">
                  <c:v>544</c:v>
                </c:pt>
                <c:pt idx="257">
                  <c:v>543</c:v>
                </c:pt>
                <c:pt idx="258">
                  <c:v>542</c:v>
                </c:pt>
                <c:pt idx="259">
                  <c:v>541</c:v>
                </c:pt>
                <c:pt idx="260">
                  <c:v>540</c:v>
                </c:pt>
                <c:pt idx="261">
                  <c:v>539</c:v>
                </c:pt>
                <c:pt idx="262">
                  <c:v>538</c:v>
                </c:pt>
                <c:pt idx="263">
                  <c:v>537</c:v>
                </c:pt>
                <c:pt idx="264">
                  <c:v>536</c:v>
                </c:pt>
                <c:pt idx="265">
                  <c:v>535</c:v>
                </c:pt>
                <c:pt idx="266">
                  <c:v>534</c:v>
                </c:pt>
                <c:pt idx="267">
                  <c:v>533</c:v>
                </c:pt>
                <c:pt idx="268">
                  <c:v>532</c:v>
                </c:pt>
                <c:pt idx="269">
                  <c:v>531</c:v>
                </c:pt>
                <c:pt idx="270">
                  <c:v>530</c:v>
                </c:pt>
                <c:pt idx="271">
                  <c:v>529</c:v>
                </c:pt>
                <c:pt idx="272">
                  <c:v>528</c:v>
                </c:pt>
                <c:pt idx="273">
                  <c:v>527</c:v>
                </c:pt>
                <c:pt idx="274">
                  <c:v>526</c:v>
                </c:pt>
                <c:pt idx="275">
                  <c:v>525</c:v>
                </c:pt>
                <c:pt idx="276">
                  <c:v>524</c:v>
                </c:pt>
                <c:pt idx="277">
                  <c:v>523</c:v>
                </c:pt>
                <c:pt idx="278">
                  <c:v>522</c:v>
                </c:pt>
                <c:pt idx="279">
                  <c:v>521</c:v>
                </c:pt>
                <c:pt idx="280">
                  <c:v>520</c:v>
                </c:pt>
                <c:pt idx="281">
                  <c:v>519</c:v>
                </c:pt>
                <c:pt idx="282">
                  <c:v>518</c:v>
                </c:pt>
                <c:pt idx="283">
                  <c:v>517</c:v>
                </c:pt>
                <c:pt idx="284">
                  <c:v>516</c:v>
                </c:pt>
                <c:pt idx="285">
                  <c:v>515</c:v>
                </c:pt>
                <c:pt idx="286">
                  <c:v>514</c:v>
                </c:pt>
                <c:pt idx="287">
                  <c:v>513</c:v>
                </c:pt>
                <c:pt idx="288">
                  <c:v>512</c:v>
                </c:pt>
                <c:pt idx="289">
                  <c:v>511</c:v>
                </c:pt>
                <c:pt idx="290">
                  <c:v>510</c:v>
                </c:pt>
                <c:pt idx="291">
                  <c:v>509</c:v>
                </c:pt>
                <c:pt idx="292">
                  <c:v>508</c:v>
                </c:pt>
                <c:pt idx="293">
                  <c:v>507</c:v>
                </c:pt>
                <c:pt idx="294">
                  <c:v>506</c:v>
                </c:pt>
                <c:pt idx="295">
                  <c:v>505</c:v>
                </c:pt>
                <c:pt idx="296">
                  <c:v>504</c:v>
                </c:pt>
                <c:pt idx="297">
                  <c:v>503</c:v>
                </c:pt>
                <c:pt idx="298">
                  <c:v>502</c:v>
                </c:pt>
                <c:pt idx="299">
                  <c:v>501</c:v>
                </c:pt>
                <c:pt idx="300">
                  <c:v>500</c:v>
                </c:pt>
                <c:pt idx="301">
                  <c:v>499</c:v>
                </c:pt>
                <c:pt idx="302">
                  <c:v>498</c:v>
                </c:pt>
                <c:pt idx="303">
                  <c:v>497</c:v>
                </c:pt>
                <c:pt idx="304">
                  <c:v>496</c:v>
                </c:pt>
                <c:pt idx="305">
                  <c:v>495</c:v>
                </c:pt>
                <c:pt idx="306">
                  <c:v>494</c:v>
                </c:pt>
                <c:pt idx="307">
                  <c:v>493</c:v>
                </c:pt>
                <c:pt idx="308">
                  <c:v>492</c:v>
                </c:pt>
                <c:pt idx="309">
                  <c:v>491</c:v>
                </c:pt>
                <c:pt idx="310">
                  <c:v>490</c:v>
                </c:pt>
                <c:pt idx="311">
                  <c:v>489</c:v>
                </c:pt>
                <c:pt idx="312">
                  <c:v>488</c:v>
                </c:pt>
                <c:pt idx="313">
                  <c:v>487</c:v>
                </c:pt>
                <c:pt idx="314">
                  <c:v>486</c:v>
                </c:pt>
                <c:pt idx="315">
                  <c:v>485</c:v>
                </c:pt>
                <c:pt idx="316">
                  <c:v>484</c:v>
                </c:pt>
                <c:pt idx="317">
                  <c:v>483</c:v>
                </c:pt>
                <c:pt idx="318">
                  <c:v>482</c:v>
                </c:pt>
                <c:pt idx="319">
                  <c:v>481</c:v>
                </c:pt>
                <c:pt idx="320">
                  <c:v>480</c:v>
                </c:pt>
                <c:pt idx="321">
                  <c:v>479</c:v>
                </c:pt>
                <c:pt idx="322">
                  <c:v>478</c:v>
                </c:pt>
                <c:pt idx="323">
                  <c:v>477</c:v>
                </c:pt>
                <c:pt idx="324">
                  <c:v>476</c:v>
                </c:pt>
                <c:pt idx="325">
                  <c:v>475</c:v>
                </c:pt>
                <c:pt idx="326">
                  <c:v>474</c:v>
                </c:pt>
                <c:pt idx="327">
                  <c:v>473</c:v>
                </c:pt>
                <c:pt idx="328">
                  <c:v>472</c:v>
                </c:pt>
                <c:pt idx="329">
                  <c:v>471</c:v>
                </c:pt>
                <c:pt idx="330">
                  <c:v>470</c:v>
                </c:pt>
                <c:pt idx="331">
                  <c:v>469</c:v>
                </c:pt>
                <c:pt idx="332">
                  <c:v>468</c:v>
                </c:pt>
                <c:pt idx="333">
                  <c:v>467</c:v>
                </c:pt>
                <c:pt idx="334">
                  <c:v>466</c:v>
                </c:pt>
                <c:pt idx="335">
                  <c:v>465</c:v>
                </c:pt>
                <c:pt idx="336">
                  <c:v>464</c:v>
                </c:pt>
                <c:pt idx="337">
                  <c:v>463</c:v>
                </c:pt>
                <c:pt idx="338">
                  <c:v>462</c:v>
                </c:pt>
                <c:pt idx="339">
                  <c:v>461</c:v>
                </c:pt>
                <c:pt idx="340">
                  <c:v>460</c:v>
                </c:pt>
                <c:pt idx="341">
                  <c:v>459</c:v>
                </c:pt>
                <c:pt idx="342">
                  <c:v>458</c:v>
                </c:pt>
                <c:pt idx="343">
                  <c:v>457</c:v>
                </c:pt>
                <c:pt idx="344">
                  <c:v>456</c:v>
                </c:pt>
                <c:pt idx="345">
                  <c:v>455</c:v>
                </c:pt>
                <c:pt idx="346">
                  <c:v>454</c:v>
                </c:pt>
                <c:pt idx="347">
                  <c:v>453</c:v>
                </c:pt>
                <c:pt idx="348">
                  <c:v>452</c:v>
                </c:pt>
                <c:pt idx="349">
                  <c:v>451</c:v>
                </c:pt>
                <c:pt idx="350">
                  <c:v>450</c:v>
                </c:pt>
                <c:pt idx="351">
                  <c:v>449</c:v>
                </c:pt>
                <c:pt idx="352">
                  <c:v>448</c:v>
                </c:pt>
                <c:pt idx="353">
                  <c:v>447</c:v>
                </c:pt>
                <c:pt idx="354">
                  <c:v>446</c:v>
                </c:pt>
                <c:pt idx="355">
                  <c:v>445</c:v>
                </c:pt>
                <c:pt idx="356">
                  <c:v>444</c:v>
                </c:pt>
                <c:pt idx="357">
                  <c:v>443</c:v>
                </c:pt>
                <c:pt idx="358">
                  <c:v>442</c:v>
                </c:pt>
                <c:pt idx="359">
                  <c:v>441</c:v>
                </c:pt>
                <c:pt idx="360">
                  <c:v>440</c:v>
                </c:pt>
                <c:pt idx="361">
                  <c:v>439</c:v>
                </c:pt>
                <c:pt idx="362">
                  <c:v>438</c:v>
                </c:pt>
                <c:pt idx="363">
                  <c:v>437</c:v>
                </c:pt>
                <c:pt idx="364">
                  <c:v>436</c:v>
                </c:pt>
                <c:pt idx="365">
                  <c:v>435</c:v>
                </c:pt>
                <c:pt idx="366">
                  <c:v>434</c:v>
                </c:pt>
                <c:pt idx="367">
                  <c:v>433</c:v>
                </c:pt>
                <c:pt idx="368">
                  <c:v>432</c:v>
                </c:pt>
                <c:pt idx="369">
                  <c:v>431</c:v>
                </c:pt>
                <c:pt idx="370">
                  <c:v>430</c:v>
                </c:pt>
                <c:pt idx="371">
                  <c:v>429</c:v>
                </c:pt>
                <c:pt idx="372">
                  <c:v>428</c:v>
                </c:pt>
                <c:pt idx="373">
                  <c:v>427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423</c:v>
                </c:pt>
                <c:pt idx="378">
                  <c:v>422</c:v>
                </c:pt>
                <c:pt idx="379">
                  <c:v>421</c:v>
                </c:pt>
                <c:pt idx="380">
                  <c:v>420</c:v>
                </c:pt>
                <c:pt idx="381">
                  <c:v>419</c:v>
                </c:pt>
                <c:pt idx="382">
                  <c:v>418</c:v>
                </c:pt>
                <c:pt idx="383">
                  <c:v>417</c:v>
                </c:pt>
                <c:pt idx="384">
                  <c:v>416</c:v>
                </c:pt>
                <c:pt idx="385">
                  <c:v>415</c:v>
                </c:pt>
                <c:pt idx="386">
                  <c:v>414</c:v>
                </c:pt>
                <c:pt idx="387">
                  <c:v>413</c:v>
                </c:pt>
                <c:pt idx="388">
                  <c:v>412</c:v>
                </c:pt>
                <c:pt idx="389">
                  <c:v>411</c:v>
                </c:pt>
                <c:pt idx="390">
                  <c:v>410</c:v>
                </c:pt>
                <c:pt idx="391">
                  <c:v>409</c:v>
                </c:pt>
                <c:pt idx="392">
                  <c:v>408</c:v>
                </c:pt>
                <c:pt idx="393">
                  <c:v>407</c:v>
                </c:pt>
                <c:pt idx="394">
                  <c:v>406</c:v>
                </c:pt>
                <c:pt idx="395">
                  <c:v>405</c:v>
                </c:pt>
                <c:pt idx="396">
                  <c:v>404</c:v>
                </c:pt>
                <c:pt idx="397">
                  <c:v>403</c:v>
                </c:pt>
                <c:pt idx="398">
                  <c:v>402</c:v>
                </c:pt>
                <c:pt idx="399">
                  <c:v>401</c:v>
                </c:pt>
                <c:pt idx="400">
                  <c:v>400</c:v>
                </c:pt>
                <c:pt idx="401">
                  <c:v>399</c:v>
                </c:pt>
                <c:pt idx="402">
                  <c:v>398</c:v>
                </c:pt>
                <c:pt idx="403">
                  <c:v>397</c:v>
                </c:pt>
                <c:pt idx="404">
                  <c:v>396</c:v>
                </c:pt>
                <c:pt idx="405">
                  <c:v>395</c:v>
                </c:pt>
                <c:pt idx="406">
                  <c:v>394</c:v>
                </c:pt>
                <c:pt idx="407">
                  <c:v>393</c:v>
                </c:pt>
                <c:pt idx="408">
                  <c:v>392</c:v>
                </c:pt>
                <c:pt idx="409">
                  <c:v>391</c:v>
                </c:pt>
                <c:pt idx="410">
                  <c:v>390</c:v>
                </c:pt>
                <c:pt idx="411">
                  <c:v>389</c:v>
                </c:pt>
                <c:pt idx="412">
                  <c:v>388</c:v>
                </c:pt>
                <c:pt idx="413">
                  <c:v>387</c:v>
                </c:pt>
                <c:pt idx="414">
                  <c:v>386</c:v>
                </c:pt>
                <c:pt idx="415">
                  <c:v>385</c:v>
                </c:pt>
                <c:pt idx="416">
                  <c:v>384</c:v>
                </c:pt>
                <c:pt idx="417">
                  <c:v>383</c:v>
                </c:pt>
                <c:pt idx="418">
                  <c:v>382</c:v>
                </c:pt>
                <c:pt idx="419">
                  <c:v>381</c:v>
                </c:pt>
                <c:pt idx="420">
                  <c:v>380</c:v>
                </c:pt>
                <c:pt idx="421">
                  <c:v>379</c:v>
                </c:pt>
                <c:pt idx="422">
                  <c:v>378</c:v>
                </c:pt>
                <c:pt idx="423">
                  <c:v>377</c:v>
                </c:pt>
                <c:pt idx="424">
                  <c:v>376</c:v>
                </c:pt>
                <c:pt idx="425">
                  <c:v>375</c:v>
                </c:pt>
                <c:pt idx="426">
                  <c:v>374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370</c:v>
                </c:pt>
                <c:pt idx="431">
                  <c:v>369</c:v>
                </c:pt>
                <c:pt idx="432">
                  <c:v>368</c:v>
                </c:pt>
                <c:pt idx="433">
                  <c:v>367</c:v>
                </c:pt>
                <c:pt idx="434">
                  <c:v>366</c:v>
                </c:pt>
                <c:pt idx="435">
                  <c:v>365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358</c:v>
                </c:pt>
                <c:pt idx="443">
                  <c:v>357</c:v>
                </c:pt>
                <c:pt idx="444">
                  <c:v>356</c:v>
                </c:pt>
                <c:pt idx="445">
                  <c:v>355</c:v>
                </c:pt>
                <c:pt idx="446">
                  <c:v>354</c:v>
                </c:pt>
                <c:pt idx="447">
                  <c:v>353</c:v>
                </c:pt>
                <c:pt idx="448">
                  <c:v>352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346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340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332</c:v>
                </c:pt>
                <c:pt idx="469">
                  <c:v>331</c:v>
                </c:pt>
                <c:pt idx="470">
                  <c:v>330</c:v>
                </c:pt>
                <c:pt idx="471">
                  <c:v>329</c:v>
                </c:pt>
                <c:pt idx="472">
                  <c:v>328</c:v>
                </c:pt>
                <c:pt idx="473">
                  <c:v>327</c:v>
                </c:pt>
                <c:pt idx="474">
                  <c:v>326</c:v>
                </c:pt>
                <c:pt idx="475">
                  <c:v>325</c:v>
                </c:pt>
                <c:pt idx="476">
                  <c:v>324</c:v>
                </c:pt>
                <c:pt idx="477">
                  <c:v>323</c:v>
                </c:pt>
                <c:pt idx="478">
                  <c:v>322</c:v>
                </c:pt>
                <c:pt idx="479">
                  <c:v>321</c:v>
                </c:pt>
                <c:pt idx="480">
                  <c:v>320</c:v>
                </c:pt>
                <c:pt idx="481">
                  <c:v>319</c:v>
                </c:pt>
                <c:pt idx="482">
                  <c:v>318</c:v>
                </c:pt>
                <c:pt idx="483">
                  <c:v>317</c:v>
                </c:pt>
                <c:pt idx="484">
                  <c:v>316</c:v>
                </c:pt>
                <c:pt idx="485">
                  <c:v>315</c:v>
                </c:pt>
                <c:pt idx="486">
                  <c:v>314</c:v>
                </c:pt>
                <c:pt idx="487">
                  <c:v>313</c:v>
                </c:pt>
                <c:pt idx="488">
                  <c:v>312</c:v>
                </c:pt>
                <c:pt idx="489">
                  <c:v>311</c:v>
                </c:pt>
                <c:pt idx="490">
                  <c:v>310</c:v>
                </c:pt>
                <c:pt idx="491">
                  <c:v>309</c:v>
                </c:pt>
                <c:pt idx="492">
                  <c:v>308</c:v>
                </c:pt>
                <c:pt idx="493">
                  <c:v>307</c:v>
                </c:pt>
                <c:pt idx="494">
                  <c:v>306</c:v>
                </c:pt>
                <c:pt idx="495">
                  <c:v>305</c:v>
                </c:pt>
                <c:pt idx="496">
                  <c:v>304</c:v>
                </c:pt>
                <c:pt idx="497">
                  <c:v>303</c:v>
                </c:pt>
                <c:pt idx="498">
                  <c:v>302</c:v>
                </c:pt>
                <c:pt idx="499">
                  <c:v>301</c:v>
                </c:pt>
                <c:pt idx="500">
                  <c:v>300</c:v>
                </c:pt>
                <c:pt idx="501">
                  <c:v>299</c:v>
                </c:pt>
                <c:pt idx="502">
                  <c:v>298</c:v>
                </c:pt>
                <c:pt idx="503">
                  <c:v>297</c:v>
                </c:pt>
                <c:pt idx="504">
                  <c:v>296</c:v>
                </c:pt>
                <c:pt idx="505">
                  <c:v>295</c:v>
                </c:pt>
                <c:pt idx="506">
                  <c:v>294</c:v>
                </c:pt>
                <c:pt idx="507">
                  <c:v>293</c:v>
                </c:pt>
                <c:pt idx="508">
                  <c:v>292</c:v>
                </c:pt>
                <c:pt idx="509">
                  <c:v>291</c:v>
                </c:pt>
                <c:pt idx="510">
                  <c:v>290</c:v>
                </c:pt>
                <c:pt idx="511">
                  <c:v>289</c:v>
                </c:pt>
                <c:pt idx="512">
                  <c:v>288</c:v>
                </c:pt>
                <c:pt idx="513">
                  <c:v>287</c:v>
                </c:pt>
                <c:pt idx="514">
                  <c:v>286</c:v>
                </c:pt>
                <c:pt idx="515">
                  <c:v>285</c:v>
                </c:pt>
                <c:pt idx="516">
                  <c:v>284</c:v>
                </c:pt>
                <c:pt idx="517">
                  <c:v>283</c:v>
                </c:pt>
                <c:pt idx="518">
                  <c:v>282</c:v>
                </c:pt>
                <c:pt idx="519">
                  <c:v>281</c:v>
                </c:pt>
                <c:pt idx="520">
                  <c:v>280</c:v>
                </c:pt>
                <c:pt idx="521">
                  <c:v>279</c:v>
                </c:pt>
                <c:pt idx="522">
                  <c:v>278</c:v>
                </c:pt>
                <c:pt idx="523">
                  <c:v>277</c:v>
                </c:pt>
                <c:pt idx="524">
                  <c:v>276</c:v>
                </c:pt>
                <c:pt idx="525">
                  <c:v>275</c:v>
                </c:pt>
                <c:pt idx="526">
                  <c:v>274</c:v>
                </c:pt>
                <c:pt idx="527">
                  <c:v>273</c:v>
                </c:pt>
                <c:pt idx="528">
                  <c:v>272</c:v>
                </c:pt>
                <c:pt idx="529">
                  <c:v>271</c:v>
                </c:pt>
                <c:pt idx="530">
                  <c:v>270</c:v>
                </c:pt>
                <c:pt idx="531">
                  <c:v>269</c:v>
                </c:pt>
                <c:pt idx="532">
                  <c:v>268</c:v>
                </c:pt>
                <c:pt idx="533">
                  <c:v>267</c:v>
                </c:pt>
                <c:pt idx="534">
                  <c:v>266</c:v>
                </c:pt>
                <c:pt idx="535">
                  <c:v>265</c:v>
                </c:pt>
                <c:pt idx="536">
                  <c:v>264</c:v>
                </c:pt>
                <c:pt idx="537">
                  <c:v>263</c:v>
                </c:pt>
                <c:pt idx="538">
                  <c:v>262</c:v>
                </c:pt>
                <c:pt idx="539">
                  <c:v>261</c:v>
                </c:pt>
                <c:pt idx="540">
                  <c:v>260</c:v>
                </c:pt>
                <c:pt idx="541">
                  <c:v>259</c:v>
                </c:pt>
                <c:pt idx="542">
                  <c:v>258</c:v>
                </c:pt>
                <c:pt idx="543">
                  <c:v>257</c:v>
                </c:pt>
                <c:pt idx="544">
                  <c:v>256</c:v>
                </c:pt>
                <c:pt idx="545">
                  <c:v>255</c:v>
                </c:pt>
                <c:pt idx="546">
                  <c:v>254</c:v>
                </c:pt>
                <c:pt idx="547">
                  <c:v>253</c:v>
                </c:pt>
                <c:pt idx="548">
                  <c:v>252</c:v>
                </c:pt>
                <c:pt idx="549">
                  <c:v>251</c:v>
                </c:pt>
                <c:pt idx="550">
                  <c:v>250</c:v>
                </c:pt>
                <c:pt idx="551">
                  <c:v>249</c:v>
                </c:pt>
                <c:pt idx="552">
                  <c:v>248</c:v>
                </c:pt>
                <c:pt idx="553">
                  <c:v>247</c:v>
                </c:pt>
                <c:pt idx="554">
                  <c:v>246</c:v>
                </c:pt>
                <c:pt idx="555">
                  <c:v>245</c:v>
                </c:pt>
                <c:pt idx="556">
                  <c:v>244</c:v>
                </c:pt>
                <c:pt idx="557">
                  <c:v>243</c:v>
                </c:pt>
                <c:pt idx="558">
                  <c:v>242</c:v>
                </c:pt>
                <c:pt idx="559">
                  <c:v>241</c:v>
                </c:pt>
                <c:pt idx="560">
                  <c:v>240</c:v>
                </c:pt>
                <c:pt idx="561">
                  <c:v>239</c:v>
                </c:pt>
                <c:pt idx="562">
                  <c:v>238</c:v>
                </c:pt>
                <c:pt idx="563">
                  <c:v>237</c:v>
                </c:pt>
                <c:pt idx="564">
                  <c:v>236</c:v>
                </c:pt>
                <c:pt idx="565">
                  <c:v>235</c:v>
                </c:pt>
                <c:pt idx="566">
                  <c:v>234</c:v>
                </c:pt>
                <c:pt idx="567">
                  <c:v>233</c:v>
                </c:pt>
                <c:pt idx="568">
                  <c:v>232</c:v>
                </c:pt>
                <c:pt idx="569">
                  <c:v>231</c:v>
                </c:pt>
                <c:pt idx="570">
                  <c:v>230</c:v>
                </c:pt>
                <c:pt idx="571">
                  <c:v>229</c:v>
                </c:pt>
                <c:pt idx="572">
                  <c:v>228</c:v>
                </c:pt>
                <c:pt idx="573">
                  <c:v>227</c:v>
                </c:pt>
                <c:pt idx="574">
                  <c:v>226</c:v>
                </c:pt>
                <c:pt idx="575">
                  <c:v>225</c:v>
                </c:pt>
                <c:pt idx="576">
                  <c:v>224</c:v>
                </c:pt>
                <c:pt idx="577">
                  <c:v>223</c:v>
                </c:pt>
                <c:pt idx="578">
                  <c:v>222</c:v>
                </c:pt>
                <c:pt idx="579">
                  <c:v>221</c:v>
                </c:pt>
                <c:pt idx="580">
                  <c:v>220</c:v>
                </c:pt>
                <c:pt idx="581">
                  <c:v>219</c:v>
                </c:pt>
                <c:pt idx="582">
                  <c:v>218</c:v>
                </c:pt>
                <c:pt idx="583">
                  <c:v>217</c:v>
                </c:pt>
                <c:pt idx="584">
                  <c:v>216</c:v>
                </c:pt>
                <c:pt idx="585">
                  <c:v>215</c:v>
                </c:pt>
                <c:pt idx="586">
                  <c:v>214</c:v>
                </c:pt>
                <c:pt idx="587">
                  <c:v>213</c:v>
                </c:pt>
                <c:pt idx="588">
                  <c:v>212</c:v>
                </c:pt>
                <c:pt idx="589">
                  <c:v>211</c:v>
                </c:pt>
                <c:pt idx="590">
                  <c:v>210</c:v>
                </c:pt>
                <c:pt idx="591">
                  <c:v>209</c:v>
                </c:pt>
                <c:pt idx="592">
                  <c:v>208</c:v>
                </c:pt>
                <c:pt idx="593">
                  <c:v>207</c:v>
                </c:pt>
                <c:pt idx="594">
                  <c:v>206</c:v>
                </c:pt>
                <c:pt idx="595">
                  <c:v>205</c:v>
                </c:pt>
                <c:pt idx="596">
                  <c:v>204</c:v>
                </c:pt>
                <c:pt idx="597">
                  <c:v>203</c:v>
                </c:pt>
                <c:pt idx="598">
                  <c:v>202</c:v>
                </c:pt>
                <c:pt idx="599">
                  <c:v>201</c:v>
                </c:pt>
                <c:pt idx="600">
                  <c:v>200</c:v>
                </c:pt>
              </c:numCache>
            </c:numRef>
          </c:xVal>
          <c:yVal>
            <c:numRef>
              <c:f>'UV-vis results'!$M$3:$M$603</c:f>
              <c:numCache>
                <c:formatCode>General</c:formatCode>
                <c:ptCount val="60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16-4921-8ABD-46179477A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430104"/>
        <c:axId val="1279431088"/>
      </c:scatterChart>
      <c:valAx>
        <c:axId val="1279430104"/>
        <c:scaling>
          <c:orientation val="minMax"/>
          <c:max val="600"/>
          <c:min val="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Symbol" panose="05050102010706020507" pitchFamily="18" charset="2"/>
                  </a:rPr>
                  <a:t>l</a:t>
                </a:r>
                <a:r>
                  <a:rPr lang="en-US">
                    <a:solidFill>
                      <a:sysClr val="windowText" lastClr="000000"/>
                    </a:solidFill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9431088"/>
        <c:crosses val="autoZero"/>
        <c:crossBetween val="midCat"/>
      </c:valAx>
      <c:valAx>
        <c:axId val="1279431088"/>
        <c:scaling>
          <c:orientation val="minMax"/>
          <c:max val="0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Absortion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79430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'Setting-up conditions'!$B$3</c:f>
              <c:strCache>
                <c:ptCount val="1"/>
                <c:pt idx="0">
                  <c:v>K</c:v>
                </c:pt>
              </c:strCache>
            </c:strRef>
          </c:tx>
          <c:spPr>
            <a:ln w="15875" cap="rnd">
              <a:solidFill>
                <a:schemeClr val="tx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'Setting-up conditions'!$A$4:$A$44</c:f>
              <c:numCache>
                <c:formatCode>General</c:formatCode>
                <c:ptCount val="41"/>
                <c:pt idx="0">
                  <c:v>1E-3</c:v>
                </c:pt>
                <c:pt idx="1">
                  <c:v>2.6000000000000002E-2</c:v>
                </c:pt>
                <c:pt idx="2">
                  <c:v>5.1000000000000004E-2</c:v>
                </c:pt>
                <c:pt idx="3">
                  <c:v>7.6000000000000012E-2</c:v>
                </c:pt>
                <c:pt idx="4">
                  <c:v>0.10100000000000001</c:v>
                </c:pt>
                <c:pt idx="5">
                  <c:v>0.126</c:v>
                </c:pt>
                <c:pt idx="6">
                  <c:v>0.151</c:v>
                </c:pt>
                <c:pt idx="7">
                  <c:v>0.17599999999999999</c:v>
                </c:pt>
                <c:pt idx="8">
                  <c:v>0.20099999999999998</c:v>
                </c:pt>
                <c:pt idx="9">
                  <c:v>0.22599999999999998</c:v>
                </c:pt>
                <c:pt idx="10">
                  <c:v>0.251</c:v>
                </c:pt>
                <c:pt idx="11">
                  <c:v>0.27600000000000002</c:v>
                </c:pt>
                <c:pt idx="12">
                  <c:v>0.30100000000000005</c:v>
                </c:pt>
                <c:pt idx="13">
                  <c:v>0.32600000000000007</c:v>
                </c:pt>
                <c:pt idx="14">
                  <c:v>0.35100000000000009</c:v>
                </c:pt>
                <c:pt idx="15">
                  <c:v>0.37600000000000011</c:v>
                </c:pt>
                <c:pt idx="16">
                  <c:v>0.40100000000000013</c:v>
                </c:pt>
                <c:pt idx="17">
                  <c:v>0.42600000000000016</c:v>
                </c:pt>
                <c:pt idx="18">
                  <c:v>0.45100000000000018</c:v>
                </c:pt>
                <c:pt idx="19">
                  <c:v>0.4760000000000002</c:v>
                </c:pt>
                <c:pt idx="20">
                  <c:v>0.50100000000000022</c:v>
                </c:pt>
                <c:pt idx="21">
                  <c:v>0.52600000000000025</c:v>
                </c:pt>
                <c:pt idx="22">
                  <c:v>0.55100000000000027</c:v>
                </c:pt>
                <c:pt idx="23">
                  <c:v>0.57600000000000029</c:v>
                </c:pt>
                <c:pt idx="24">
                  <c:v>0.60100000000000031</c:v>
                </c:pt>
                <c:pt idx="25">
                  <c:v>0.62600000000000033</c:v>
                </c:pt>
                <c:pt idx="26">
                  <c:v>0.65100000000000036</c:v>
                </c:pt>
                <c:pt idx="27">
                  <c:v>0.67600000000000038</c:v>
                </c:pt>
                <c:pt idx="28">
                  <c:v>0.7010000000000004</c:v>
                </c:pt>
                <c:pt idx="29">
                  <c:v>0.72600000000000042</c:v>
                </c:pt>
                <c:pt idx="30">
                  <c:v>0.75100000000000044</c:v>
                </c:pt>
                <c:pt idx="31">
                  <c:v>0.77600000000000047</c:v>
                </c:pt>
                <c:pt idx="32">
                  <c:v>0.80100000000000049</c:v>
                </c:pt>
                <c:pt idx="33">
                  <c:v>0.82600000000000051</c:v>
                </c:pt>
                <c:pt idx="34">
                  <c:v>0.85100000000000053</c:v>
                </c:pt>
                <c:pt idx="35">
                  <c:v>0.87600000000000056</c:v>
                </c:pt>
                <c:pt idx="36">
                  <c:v>0.90100000000000058</c:v>
                </c:pt>
                <c:pt idx="37">
                  <c:v>0.9260000000000006</c:v>
                </c:pt>
                <c:pt idx="38">
                  <c:v>0.95100000000000062</c:v>
                </c:pt>
                <c:pt idx="39">
                  <c:v>0.97600000000000064</c:v>
                </c:pt>
                <c:pt idx="40">
                  <c:v>0.999</c:v>
                </c:pt>
              </c:numCache>
            </c:numRef>
          </c:xVal>
          <c:yVal>
            <c:numRef>
              <c:f>'Setting-up conditions'!$B$4:$B$44</c:f>
              <c:numCache>
                <c:formatCode>General</c:formatCode>
                <c:ptCount val="41"/>
                <c:pt idx="0">
                  <c:v>200.40060080100116</c:v>
                </c:pt>
                <c:pt idx="1">
                  <c:v>5481.3234444636528</c:v>
                </c:pt>
                <c:pt idx="2">
                  <c:v>11325.770235653747</c:v>
                </c:pt>
                <c:pt idx="3">
                  <c:v>17803.264556511313</c:v>
                </c:pt>
                <c:pt idx="4">
                  <c:v>24993.782487277298</c:v>
                </c:pt>
                <c:pt idx="5">
                  <c:v>32989.647534416574</c:v>
                </c:pt>
                <c:pt idx="6">
                  <c:v>41897.833105115002</c:v>
                </c:pt>
                <c:pt idx="7">
                  <c:v>51842.77500235648</c:v>
                </c:pt>
                <c:pt idx="8">
                  <c:v>62969.826175084287</c:v>
                </c:pt>
                <c:pt idx="9">
                  <c:v>75449.525602761569</c:v>
                </c:pt>
                <c:pt idx="10">
                  <c:v>89482.906447582078</c:v>
                </c:pt>
                <c:pt idx="11">
                  <c:v>105308.14077714356</c:v>
                </c:pt>
                <c:pt idx="12">
                  <c:v>123208.9168871943</c:v>
                </c:pt>
                <c:pt idx="13">
                  <c:v>143525.08166841307</c:v>
                </c:pt>
                <c:pt idx="14">
                  <c:v>166666.27097276604</c:v>
                </c:pt>
                <c:pt idx="15">
                  <c:v>193129.5200525971</c:v>
                </c:pt>
                <c:pt idx="16">
                  <c:v>223522.23098597844</c:v>
                </c:pt>
                <c:pt idx="17">
                  <c:v>258592.43161869168</c:v>
                </c:pt>
                <c:pt idx="18">
                  <c:v>299269.08006277384</c:v>
                </c:pt>
                <c:pt idx="19">
                  <c:v>346716.39181865897</c:v>
                </c:pt>
                <c:pt idx="20">
                  <c:v>402408.02245774161</c:v>
                </c:pt>
                <c:pt idx="21">
                  <c:v>468229.80647688295</c:v>
                </c:pt>
                <c:pt idx="22">
                  <c:v>546624.27269706095</c:v>
                </c:pt>
                <c:pt idx="23">
                  <c:v>640797.43681025389</c:v>
                </c:pt>
                <c:pt idx="24">
                  <c:v>755020.38303779648</c:v>
                </c:pt>
                <c:pt idx="25">
                  <c:v>895078.49809831765</c:v>
                </c:pt>
                <c:pt idx="26">
                  <c:v>1068956.7409134598</c:v>
                </c:pt>
                <c:pt idx="27">
                  <c:v>1287913.4278311271</c:v>
                </c:pt>
                <c:pt idx="28">
                  <c:v>1568215.1206362396</c:v>
                </c:pt>
                <c:pt idx="29">
                  <c:v>1934040.1726250802</c:v>
                </c:pt>
                <c:pt idx="30">
                  <c:v>2422541.5719101406</c:v>
                </c:pt>
                <c:pt idx="31">
                  <c:v>3093112.2448979737</c:v>
                </c:pt>
                <c:pt idx="32">
                  <c:v>4045352.3900911827</c:v>
                </c:pt>
                <c:pt idx="33">
                  <c:v>5456467.168714527</c:v>
                </c:pt>
                <c:pt idx="34">
                  <c:v>7666321.3368767789</c:v>
                </c:pt>
                <c:pt idx="35">
                  <c:v>11394380.853277942</c:v>
                </c:pt>
                <c:pt idx="36">
                  <c:v>18385878.991939832</c:v>
                </c:pt>
                <c:pt idx="37">
                  <c:v>33820306.793280311</c:v>
                </c:pt>
                <c:pt idx="38">
                  <c:v>79216992.919618919</c:v>
                </c:pt>
                <c:pt idx="39">
                  <c:v>338888888.88890624</c:v>
                </c:pt>
                <c:pt idx="40">
                  <c:v>199800000000.00171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F5-49AB-A647-86521164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26736"/>
        <c:axId val="1015729360"/>
      </c:scatterChart>
      <c:valAx>
        <c:axId val="10157267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[HG]/[H]</a:t>
                </a:r>
                <a:r>
                  <a:rPr lang="en-US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729360"/>
        <c:crosses val="autoZero"/>
        <c:crossBetween val="midCat"/>
      </c:valAx>
      <c:valAx>
        <c:axId val="1015729360"/>
        <c:scaling>
          <c:logBase val="10"/>
          <c:orientation val="minMax"/>
          <c:max val="10000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72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'Setting-up conditions'!$AN$10</c:f>
              <c:strCache>
                <c:ptCount val="1"/>
                <c:pt idx="0">
                  <c:v>1.00E+07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'Setting-up conditions'!$AM$14:$AM$23</c:f>
              <c:numCache>
                <c:formatCode>General</c:formatCode>
                <c:ptCount val="1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  <c:pt idx="8">
                  <c:v>50</c:v>
                </c:pt>
                <c:pt idx="9">
                  <c:v>200</c:v>
                </c:pt>
              </c:numCache>
            </c:numRef>
          </c:xVal>
          <c:yVal>
            <c:numRef>
              <c:f>'Setting-up conditions'!$AQ$14:$AQ$23</c:f>
              <c:numCache>
                <c:formatCode>General</c:formatCode>
                <c:ptCount val="10"/>
                <c:pt idx="0">
                  <c:v>9.7831199668346316E-2</c:v>
                </c:pt>
                <c:pt idx="1">
                  <c:v>0.24356034947900337</c:v>
                </c:pt>
                <c:pt idx="2">
                  <c:v>0.48143223445631766</c:v>
                </c:pt>
                <c:pt idx="3">
                  <c:v>0.70272273866441815</c:v>
                </c:pt>
                <c:pt idx="4">
                  <c:v>0.86822553121242185</c:v>
                </c:pt>
                <c:pt idx="5">
                  <c:v>0.98695407639649235</c:v>
                </c:pt>
                <c:pt idx="6">
                  <c:v>0.99503101760845947</c:v>
                </c:pt>
                <c:pt idx="7">
                  <c:v>0.99778324988703604</c:v>
                </c:pt>
                <c:pt idx="8">
                  <c:v>0.99959200665969983</c:v>
                </c:pt>
                <c:pt idx="9">
                  <c:v>0.99989950763792868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BF-4CA6-8D69-C4EBCF417A6E}"/>
            </c:ext>
          </c:extLst>
        </c:ser>
        <c:ser>
          <c:idx val="1"/>
          <c:order val="1"/>
          <c:tx>
            <c:strRef>
              <c:f>'Setting-up conditions'!$AG$10</c:f>
              <c:strCache>
                <c:ptCount val="1"/>
                <c:pt idx="0">
                  <c:v>1.00E+06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'Setting-up conditions'!$AF$14:$AF$23</c:f>
              <c:numCache>
                <c:formatCode>General</c:formatCode>
                <c:ptCount val="1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  <c:pt idx="8">
                  <c:v>50</c:v>
                </c:pt>
                <c:pt idx="9">
                  <c:v>200</c:v>
                </c:pt>
              </c:numCache>
            </c:numRef>
          </c:xVal>
          <c:yVal>
            <c:numRef>
              <c:f>'Setting-up conditions'!$AJ$14:$AJ$23</c:f>
              <c:numCache>
                <c:formatCode>General</c:formatCode>
                <c:ptCount val="10"/>
                <c:pt idx="0">
                  <c:v>8.2109165419972638E-2</c:v>
                </c:pt>
                <c:pt idx="1">
                  <c:v>0.2</c:v>
                </c:pt>
                <c:pt idx="2">
                  <c:v>0.37830094339716985</c:v>
                </c:pt>
                <c:pt idx="3">
                  <c:v>0.52708817832077703</c:v>
                </c:pt>
                <c:pt idx="4">
                  <c:v>0.64174243050441604</c:v>
                </c:pt>
                <c:pt idx="5">
                  <c:v>0.88953136438507274</c:v>
                </c:pt>
                <c:pt idx="6">
                  <c:v>0.95290894464161124</c:v>
                </c:pt>
                <c:pt idx="7">
                  <c:v>0.97831199668346258</c:v>
                </c:pt>
                <c:pt idx="8">
                  <c:v>0.99593529515905455</c:v>
                </c:pt>
                <c:pt idx="9">
                  <c:v>0.99899598899617104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BF-4CA6-8D69-C4EBCF417A6E}"/>
            </c:ext>
          </c:extLst>
        </c:ser>
        <c:ser>
          <c:idx val="0"/>
          <c:order val="2"/>
          <c:tx>
            <c:strRef>
              <c:f>'Setting-up conditions'!$Z$10</c:f>
              <c:strCache>
                <c:ptCount val="1"/>
                <c:pt idx="0">
                  <c:v>1.00E+05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'Setting-up conditions'!$Y$14:$Y$23</c:f>
              <c:numCache>
                <c:formatCode>General</c:formatCode>
                <c:ptCount val="1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  <c:pt idx="8">
                  <c:v>50</c:v>
                </c:pt>
                <c:pt idx="9">
                  <c:v>200</c:v>
                </c:pt>
              </c:numCache>
            </c:numRef>
          </c:xVal>
          <c:yVal>
            <c:numRef>
              <c:f>'Setting-up conditions'!$AC$14:$AC$23</c:f>
              <c:numCache>
                <c:formatCode>General</c:formatCode>
                <c:ptCount val="10"/>
                <c:pt idx="0">
                  <c:v>3.2600909450648086E-2</c:v>
                </c:pt>
                <c:pt idx="1">
                  <c:v>7.8835390393377391E-2</c:v>
                </c:pt>
                <c:pt idx="2">
                  <c:v>0.14921894064178787</c:v>
                </c:pt>
                <c:pt idx="3">
                  <c:v>0.21198316304374121</c:v>
                </c:pt>
                <c:pt idx="4">
                  <c:v>0.26794919243112281</c:v>
                </c:pt>
                <c:pt idx="5">
                  <c:v>0.5</c:v>
                </c:pt>
                <c:pt idx="6">
                  <c:v>0.68337520964460019</c:v>
                </c:pt>
                <c:pt idx="7">
                  <c:v>0.82109165419972641</c:v>
                </c:pt>
                <c:pt idx="8">
                  <c:v>0.96081442175573173</c:v>
                </c:pt>
                <c:pt idx="9">
                  <c:v>0.99005024376940298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BF-4CA6-8D69-C4EBCF417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572760"/>
        <c:axId val="967575056"/>
      </c:scatterChart>
      <c:valAx>
        <c:axId val="967572760"/>
        <c:scaling>
          <c:logBase val="10"/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[G]0/[H]0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7575056"/>
        <c:crosses val="autoZero"/>
        <c:crossBetween val="midCat"/>
      </c:valAx>
      <c:valAx>
        <c:axId val="9675750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[HG]/[H]0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757276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'Setting-up conditions'!$AN$10</c:f>
              <c:strCache>
                <c:ptCount val="1"/>
                <c:pt idx="0">
                  <c:v>1.00E+07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'Setting-up conditions'!$AM$14:$AM$23</c:f>
              <c:numCache>
                <c:formatCode>General</c:formatCode>
                <c:ptCount val="1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  <c:pt idx="8">
                  <c:v>50</c:v>
                </c:pt>
                <c:pt idx="9">
                  <c:v>200</c:v>
                </c:pt>
              </c:numCache>
            </c:numRef>
          </c:xVal>
          <c:yVal>
            <c:numRef>
              <c:f>'Setting-up conditions'!$AR$14:$AR$23</c:f>
              <c:numCache>
                <c:formatCode>0.00E+00</c:formatCode>
                <c:ptCount val="10"/>
                <c:pt idx="0">
                  <c:v>4.8915599834173159E-7</c:v>
                </c:pt>
                <c:pt idx="1">
                  <c:v>1.2178017473950169E-6</c:v>
                </c:pt>
                <c:pt idx="2">
                  <c:v>2.4071611722815887E-6</c:v>
                </c:pt>
                <c:pt idx="3">
                  <c:v>3.5136136933220912E-6</c:v>
                </c:pt>
                <c:pt idx="4">
                  <c:v>4.3411276560621097E-6</c:v>
                </c:pt>
                <c:pt idx="5">
                  <c:v>4.9347703819824623E-6</c:v>
                </c:pt>
                <c:pt idx="6">
                  <c:v>4.9751550880422974E-6</c:v>
                </c:pt>
                <c:pt idx="7">
                  <c:v>4.9889162494351807E-6</c:v>
                </c:pt>
                <c:pt idx="8">
                  <c:v>4.9979600332984999E-6</c:v>
                </c:pt>
                <c:pt idx="9">
                  <c:v>4.9994975381896434E-6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34-4A56-984E-3DC100001FD9}"/>
            </c:ext>
          </c:extLst>
        </c:ser>
        <c:ser>
          <c:idx val="1"/>
          <c:order val="1"/>
          <c:tx>
            <c:strRef>
              <c:f>'Setting-up conditions'!$AG$10</c:f>
              <c:strCache>
                <c:ptCount val="1"/>
                <c:pt idx="0">
                  <c:v>1.00E+06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'Setting-up conditions'!$AF$14:$AF$23</c:f>
              <c:numCache>
                <c:formatCode>General</c:formatCode>
                <c:ptCount val="1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  <c:pt idx="8">
                  <c:v>50</c:v>
                </c:pt>
                <c:pt idx="9">
                  <c:v>200</c:v>
                </c:pt>
              </c:numCache>
            </c:numRef>
          </c:xVal>
          <c:yVal>
            <c:numRef>
              <c:f>'Setting-up conditions'!$AK$14:$AK$23</c:f>
              <c:numCache>
                <c:formatCode>0.00E+00</c:formatCode>
                <c:ptCount val="10"/>
                <c:pt idx="0">
                  <c:v>4.1054582709986321E-7</c:v>
                </c:pt>
                <c:pt idx="1">
                  <c:v>1.0000000000000002E-6</c:v>
                </c:pt>
                <c:pt idx="2">
                  <c:v>1.8915047169858493E-6</c:v>
                </c:pt>
                <c:pt idx="3">
                  <c:v>2.6354408916038854E-6</c:v>
                </c:pt>
                <c:pt idx="4">
                  <c:v>3.2087121525220805E-6</c:v>
                </c:pt>
                <c:pt idx="5">
                  <c:v>4.4476568219253638E-6</c:v>
                </c:pt>
                <c:pt idx="6">
                  <c:v>4.7645447232080563E-6</c:v>
                </c:pt>
                <c:pt idx="7">
                  <c:v>4.8915599834173129E-6</c:v>
                </c:pt>
                <c:pt idx="8">
                  <c:v>4.9796764757952727E-6</c:v>
                </c:pt>
                <c:pt idx="9">
                  <c:v>4.9949799449808554E-6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34-4A56-984E-3DC100001FD9}"/>
            </c:ext>
          </c:extLst>
        </c:ser>
        <c:ser>
          <c:idx val="0"/>
          <c:order val="2"/>
          <c:tx>
            <c:strRef>
              <c:f>'Setting-up conditions'!$Z$10</c:f>
              <c:strCache>
                <c:ptCount val="1"/>
                <c:pt idx="0">
                  <c:v>1.00E+05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'Setting-up conditions'!$Y$14:$Y$23</c:f>
              <c:numCache>
                <c:formatCode>General</c:formatCode>
                <c:ptCount val="10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2.5</c:v>
                </c:pt>
                <c:pt idx="6">
                  <c:v>5</c:v>
                </c:pt>
                <c:pt idx="7">
                  <c:v>10</c:v>
                </c:pt>
                <c:pt idx="8">
                  <c:v>50</c:v>
                </c:pt>
                <c:pt idx="9">
                  <c:v>200</c:v>
                </c:pt>
              </c:numCache>
            </c:numRef>
          </c:xVal>
          <c:yVal>
            <c:numRef>
              <c:f>'Setting-up conditions'!$AD$14:$AD$23</c:f>
              <c:numCache>
                <c:formatCode>0.00E+00</c:formatCode>
                <c:ptCount val="10"/>
                <c:pt idx="0">
                  <c:v>1.6300454725324045E-7</c:v>
                </c:pt>
                <c:pt idx="1">
                  <c:v>3.94176951966887E-7</c:v>
                </c:pt>
                <c:pt idx="2">
                  <c:v>7.4609470320893941E-7</c:v>
                </c:pt>
                <c:pt idx="3">
                  <c:v>1.0599158152187061E-6</c:v>
                </c:pt>
                <c:pt idx="4">
                  <c:v>1.3397459621556141E-6</c:v>
                </c:pt>
                <c:pt idx="5">
                  <c:v>2.5000000000000002E-6</c:v>
                </c:pt>
                <c:pt idx="6">
                  <c:v>3.4168760482230011E-6</c:v>
                </c:pt>
                <c:pt idx="7">
                  <c:v>4.1054582709986327E-6</c:v>
                </c:pt>
                <c:pt idx="8">
                  <c:v>4.8040721087786591E-6</c:v>
                </c:pt>
                <c:pt idx="9">
                  <c:v>4.9502512188470157E-6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34-4A56-984E-3DC100001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572760"/>
        <c:axId val="967575056"/>
      </c:scatterChart>
      <c:valAx>
        <c:axId val="967572760"/>
        <c:scaling>
          <c:logBase val="10"/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[G]0/[H]0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7575056"/>
        <c:crosses val="autoZero"/>
        <c:crossBetween val="midCat"/>
      </c:valAx>
      <c:valAx>
        <c:axId val="9675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[HG]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757276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Benesi-Hildebrandt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completa</c:v>
          </c:tx>
          <c:spPr>
            <a:ln w="19050">
              <a:noFill/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trendline>
            <c:spPr>
              <a:ln>
                <a:solidFill>
                  <a:srgbClr val="007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4157589117145802"/>
                  <c:y val="0.44547140289860254"/>
                </c:manualLayout>
              </c:layout>
              <c:numFmt formatCode="0.000E+00" sourceLinked="0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'TESTER-ABSORBANCE'!$J$17:$J$27</c:f>
              <c:numCache>
                <c:formatCode>0.000E+00</c:formatCode>
                <c:ptCount val="11"/>
                <c:pt idx="0">
                  <c:v>999999.99999999988</c:v>
                </c:pt>
                <c:pt idx="1">
                  <c:v>399999.99999999994</c:v>
                </c:pt>
                <c:pt idx="2">
                  <c:v>199999.99999999997</c:v>
                </c:pt>
                <c:pt idx="3">
                  <c:v>133333.33333333331</c:v>
                </c:pt>
                <c:pt idx="4">
                  <c:v>99999.999999999985</c:v>
                </c:pt>
                <c:pt idx="5">
                  <c:v>40000</c:v>
                </c:pt>
                <c:pt idx="6">
                  <c:v>20000</c:v>
                </c:pt>
                <c:pt idx="7">
                  <c:v>13333.333333333332</c:v>
                </c:pt>
                <c:pt idx="8">
                  <c:v>10000</c:v>
                </c:pt>
                <c:pt idx="9">
                  <c:v>5000</c:v>
                </c:pt>
                <c:pt idx="10">
                  <c:v>2000</c:v>
                </c:pt>
              </c:numCache>
            </c:numRef>
          </c:xVal>
          <c:yVal>
            <c:numRef>
              <c:f>'TESTER-ABSORBANCE'!$U$17:$U$27</c:f>
              <c:numCache>
                <c:formatCode>0.000E+00</c:formatCode>
                <c:ptCount val="11"/>
                <c:pt idx="0">
                  <c:v>308.49136646047884</c:v>
                </c:pt>
                <c:pt idx="1">
                  <c:v>128.04129758084264</c:v>
                </c:pt>
                <c:pt idx="2">
                  <c:v>68.124047505809926</c:v>
                </c:pt>
                <c:pt idx="3">
                  <c:v>48.330222831868248</c:v>
                </c:pt>
                <c:pt idx="4">
                  <c:v>38.552744667487147</c:v>
                </c:pt>
                <c:pt idx="5">
                  <c:v>21.65625073277678</c:v>
                </c:pt>
                <c:pt idx="6">
                  <c:v>16.643519029627967</c:v>
                </c:pt>
                <c:pt idx="7">
                  <c:v>15.137842602543021</c:v>
                </c:pt>
                <c:pt idx="8">
                  <c:v>14.427567212616161</c:v>
                </c:pt>
                <c:pt idx="9">
                  <c:v>13.423270004665971</c:v>
                </c:pt>
                <c:pt idx="10">
                  <c:v>12.859093999933728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C3-4E56-81FC-B98C9BC51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1/[G]</a:t>
                </a:r>
                <a:r>
                  <a:rPr lang="es-ES" baseline="-25000"/>
                  <a:t>0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1/(A</a:t>
                </a:r>
                <a:r>
                  <a:rPr lang="es-ES" baseline="-25000"/>
                  <a:t>obs</a:t>
                </a:r>
                <a:r>
                  <a:rPr lang="es-ES"/>
                  <a:t>-A</a:t>
                </a:r>
                <a:r>
                  <a:rPr lang="es-ES" baseline="-25000"/>
                  <a:t>0</a:t>
                </a:r>
                <a:r>
                  <a:rPr lang="es-ES"/>
                  <a:t>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B-H double reciprocal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completa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>
                <a:solidFill>
                  <a:schemeClr val="accent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9221194945065931"/>
                  <c:y val="0.54830472827876198"/>
                </c:manualLayout>
              </c:layout>
              <c:numFmt formatCode="0.000000E+00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'TESTER-ABSORBANCE'!$K$17:$K$27</c:f>
              <c:numCache>
                <c:formatCode>0.000E+00</c:formatCode>
                <c:ptCount val="11"/>
                <c:pt idx="0">
                  <c:v>-6</c:v>
                </c:pt>
                <c:pt idx="1">
                  <c:v>-5.6020599913279625</c:v>
                </c:pt>
                <c:pt idx="2">
                  <c:v>-5.3010299956639813</c:v>
                </c:pt>
                <c:pt idx="3">
                  <c:v>-5.1249387366082999</c:v>
                </c:pt>
                <c:pt idx="4">
                  <c:v>-5</c:v>
                </c:pt>
                <c:pt idx="5">
                  <c:v>-4.6020599913279625</c:v>
                </c:pt>
                <c:pt idx="6">
                  <c:v>-4.3010299956639813</c:v>
                </c:pt>
                <c:pt idx="7">
                  <c:v>-4.1249387366082999</c:v>
                </c:pt>
                <c:pt idx="8">
                  <c:v>-4</c:v>
                </c:pt>
                <c:pt idx="9">
                  <c:v>-3.6989700043360187</c:v>
                </c:pt>
                <c:pt idx="10">
                  <c:v>-3.3010299956639813</c:v>
                </c:pt>
              </c:numCache>
            </c:numRef>
          </c:xVal>
          <c:yVal>
            <c:numRef>
              <c:f>'TESTER-ABSORBANCE'!$W$17:$W$27</c:f>
              <c:numCache>
                <c:formatCode>0.000E+00</c:formatCode>
                <c:ptCount val="11"/>
                <c:pt idx="0">
                  <c:v>-1.3800326432101224</c:v>
                </c:pt>
                <c:pt idx="1">
                  <c:v>-0.99813969564685778</c:v>
                </c:pt>
                <c:pt idx="2">
                  <c:v>-0.72409007210238197</c:v>
                </c:pt>
                <c:pt idx="3">
                  <c:v>-0.57500842648364769</c:v>
                </c:pt>
                <c:pt idx="4">
                  <c:v>-0.47684493098830733</c:v>
                </c:pt>
                <c:pt idx="5">
                  <c:v>-0.22637289996414234</c:v>
                </c:pt>
                <c:pt idx="6">
                  <c:v>-0.11203478588194925</c:v>
                </c:pt>
                <c:pt idx="7">
                  <c:v>-7.0853614275076165E-2</c:v>
                </c:pt>
                <c:pt idx="8">
                  <c:v>-4.9982735177403315E-2</c:v>
                </c:pt>
                <c:pt idx="9">
                  <c:v>-1.8647954943449254E-2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D-4ABB-ABE5-5667AC31146F}"/>
            </c:ext>
          </c:extLst>
        </c:ser>
        <c:ser>
          <c:idx val="0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chemeClr val="accent2"/>
                </a:solidFill>
              </a:ln>
            </c:spPr>
          </c:marker>
          <c:trendline>
            <c:spPr>
              <a:ln>
                <a:solidFill>
                  <a:srgbClr val="007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32432021857947352"/>
                  <c:y val="0.21726308437544858"/>
                </c:manualLayout>
              </c:layout>
              <c:numFmt formatCode="0.000000E+00" sourceLinked="0"/>
              <c:spPr>
                <a:ln>
                  <a:noFill/>
                  <a:prstDash val="sysDash"/>
                </a:ln>
              </c:spPr>
              <c:txPr>
                <a:bodyPr/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'TESTER-ABSORBANCE'!$K$17:$K$26</c:f>
              <c:numCache>
                <c:formatCode>0.000E+00</c:formatCode>
                <c:ptCount val="10"/>
                <c:pt idx="0">
                  <c:v>-6</c:v>
                </c:pt>
                <c:pt idx="1">
                  <c:v>-5.6020599913279625</c:v>
                </c:pt>
                <c:pt idx="2">
                  <c:v>-5.3010299956639813</c:v>
                </c:pt>
                <c:pt idx="3">
                  <c:v>-5.1249387366082999</c:v>
                </c:pt>
                <c:pt idx="4">
                  <c:v>-5</c:v>
                </c:pt>
                <c:pt idx="5">
                  <c:v>-4.6020599913279625</c:v>
                </c:pt>
                <c:pt idx="6">
                  <c:v>-4.3010299956639813</c:v>
                </c:pt>
                <c:pt idx="7">
                  <c:v>-4.1249387366082999</c:v>
                </c:pt>
                <c:pt idx="8">
                  <c:v>-4</c:v>
                </c:pt>
                <c:pt idx="9">
                  <c:v>-3.6989700043360187</c:v>
                </c:pt>
              </c:numCache>
            </c:numRef>
          </c:xVal>
          <c:yVal>
            <c:numRef>
              <c:f>'TESTER-ABSORBANCE'!$X$17:$X$21</c:f>
              <c:numCache>
                <c:formatCode>0.000E+00</c:formatCode>
                <c:ptCount val="5"/>
                <c:pt idx="0">
                  <c:v>-1.3923330012249313</c:v>
                </c:pt>
                <c:pt idx="1">
                  <c:v>-1.0104400536616667</c:v>
                </c:pt>
                <c:pt idx="2">
                  <c:v>-0.73639043011719085</c:v>
                </c:pt>
                <c:pt idx="3">
                  <c:v>-0.58730878449845658</c:v>
                </c:pt>
                <c:pt idx="4">
                  <c:v>-0.48914528900311627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7D-4ABB-ABE5-5667AC31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log[G]</a:t>
                </a:r>
                <a:r>
                  <a:rPr lang="en-US" baseline="-25000"/>
                  <a:t>0</a:t>
                </a:r>
              </a:p>
            </c:rich>
          </c:tx>
          <c:layout/>
          <c:overlay val="0"/>
        </c:title>
        <c:numFmt formatCode="0.E+00" sourceLinked="0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log(A</a:t>
                </a:r>
                <a:r>
                  <a:rPr lang="en-US" baseline="-25000"/>
                  <a:t>obs</a:t>
                </a:r>
                <a:r>
                  <a:rPr lang="en-US"/>
                  <a:t>-A</a:t>
                </a:r>
                <a:r>
                  <a:rPr lang="en-US" baseline="-25000"/>
                  <a:t>0</a:t>
                </a:r>
                <a:r>
                  <a:rPr lang="en-US"/>
                  <a:t>)/(A</a:t>
                </a:r>
                <a:r>
                  <a:rPr lang="en-US" baseline="-25000"/>
                  <a:t>f</a:t>
                </a:r>
                <a:r>
                  <a:rPr lang="en-US"/>
                  <a:t>-A</a:t>
                </a:r>
                <a:r>
                  <a:rPr lang="en-US" baseline="-25000"/>
                  <a:t>0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6478112654931022E-2"/>
              <c:y val="0.29439760765728651"/>
            </c:manualLayout>
          </c:layout>
          <c:overlay val="0"/>
        </c:title>
        <c:numFmt formatCode="0.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Benesi-Hildebrandt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39114148721759"/>
          <c:y val="0.16919502130728761"/>
          <c:w val="0.83434167543331028"/>
          <c:h val="0.62824853521377688"/>
        </c:manualLayout>
      </c:layout>
      <c:scatterChart>
        <c:scatterStyle val="lineMarker"/>
        <c:varyColors val="0"/>
        <c:ser>
          <c:idx val="1"/>
          <c:order val="0"/>
          <c:tx>
            <c:v>completa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trendline>
            <c:spPr>
              <a:ln>
                <a:solidFill>
                  <a:srgbClr val="007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375108349202841"/>
                  <c:y val="0.33715837219794081"/>
                </c:manualLayout>
              </c:layout>
              <c:numFmt formatCode="0.000E+00" sourceLinked="0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s-ES"/>
                </a:p>
              </c:txPr>
            </c:trendlineLbl>
          </c:trendline>
          <c:xVal>
            <c:numRef>
              <c:f>'TESTER-ABSORBANCE'!$J$17:$J$27</c:f>
              <c:numCache>
                <c:formatCode>0.000E+00</c:formatCode>
                <c:ptCount val="11"/>
                <c:pt idx="0">
                  <c:v>999999.99999999988</c:v>
                </c:pt>
                <c:pt idx="1">
                  <c:v>399999.99999999994</c:v>
                </c:pt>
                <c:pt idx="2">
                  <c:v>199999.99999999997</c:v>
                </c:pt>
                <c:pt idx="3">
                  <c:v>133333.33333333331</c:v>
                </c:pt>
                <c:pt idx="4">
                  <c:v>99999.999999999985</c:v>
                </c:pt>
                <c:pt idx="5">
                  <c:v>40000</c:v>
                </c:pt>
                <c:pt idx="6">
                  <c:v>20000</c:v>
                </c:pt>
                <c:pt idx="7">
                  <c:v>13333.333333333332</c:v>
                </c:pt>
                <c:pt idx="8">
                  <c:v>10000</c:v>
                </c:pt>
                <c:pt idx="9">
                  <c:v>5000</c:v>
                </c:pt>
                <c:pt idx="10">
                  <c:v>2000</c:v>
                </c:pt>
              </c:numCache>
            </c:numRef>
          </c:xVal>
          <c:yVal>
            <c:numRef>
              <c:f>'TESTER-ABSORBANCE'!$Y$17:$Y$27</c:f>
              <c:numCache>
                <c:formatCode>0.000E+00</c:formatCode>
                <c:ptCount val="11"/>
                <c:pt idx="0">
                  <c:v>3.0849136646047886E-3</c:v>
                </c:pt>
                <c:pt idx="1">
                  <c:v>1.2804129758084266E-3</c:v>
                </c:pt>
                <c:pt idx="2">
                  <c:v>6.8124047505809936E-4</c:v>
                </c:pt>
                <c:pt idx="3">
                  <c:v>4.833022283186825E-4</c:v>
                </c:pt>
                <c:pt idx="4">
                  <c:v>3.855274466748715E-4</c:v>
                </c:pt>
                <c:pt idx="5">
                  <c:v>2.1656250732776783E-4</c:v>
                </c:pt>
                <c:pt idx="6">
                  <c:v>1.664351902962797E-4</c:v>
                </c:pt>
                <c:pt idx="7">
                  <c:v>1.5137842602543021E-4</c:v>
                </c:pt>
                <c:pt idx="8">
                  <c:v>1.4427567212616161E-4</c:v>
                </c:pt>
                <c:pt idx="9">
                  <c:v>1.3423270004665972E-4</c:v>
                </c:pt>
                <c:pt idx="10">
                  <c:v>1.2859093999933731E-4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AB-4875-BC9F-3E0F6CC6F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838968"/>
        <c:axId val="852841264"/>
      </c:scatterChart>
      <c:valAx>
        <c:axId val="85283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1/[G]</a:t>
                </a:r>
                <a:r>
                  <a:rPr lang="es-ES" baseline="-25000"/>
                  <a:t>0</a:t>
                </a:r>
              </a:p>
            </c:rich>
          </c:tx>
          <c:layout/>
          <c:overlay val="0"/>
        </c:title>
        <c:numFmt formatCode="0.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41264"/>
        <c:crosses val="autoZero"/>
        <c:crossBetween val="midCat"/>
      </c:valAx>
      <c:valAx>
        <c:axId val="8528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[H</a:t>
                </a:r>
                <a:r>
                  <a:rPr lang="es-ES" baseline="0"/>
                  <a:t> ]</a:t>
                </a:r>
                <a:r>
                  <a:rPr lang="es-ES" baseline="-25000"/>
                  <a:t>0</a:t>
                </a:r>
                <a:r>
                  <a:rPr lang="es-ES"/>
                  <a:t>/(A</a:t>
                </a:r>
                <a:r>
                  <a:rPr lang="es-ES" baseline="-25000"/>
                  <a:t>obs</a:t>
                </a:r>
                <a:r>
                  <a:rPr lang="es-ES"/>
                  <a:t>-A</a:t>
                </a:r>
                <a:r>
                  <a:rPr lang="es-ES" baseline="-25000"/>
                  <a:t>0</a:t>
                </a:r>
                <a:r>
                  <a:rPr lang="es-ES"/>
                  <a:t>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28389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absolute</a:t>
            </a:r>
            <a:r>
              <a:rPr lang="es-ES" baseline="0"/>
              <a:t> c</a:t>
            </a:r>
            <a:r>
              <a:rPr lang="es-ES"/>
              <a:t>oncentration</a:t>
            </a:r>
            <a:r>
              <a:rPr lang="es-ES" baseline="0"/>
              <a:t> evolution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[H]</c:v>
          </c:tx>
          <c:spPr>
            <a:ln w="127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'TESTER-ABSORBANCE'!$P$16:$P$27</c:f>
              <c:numCache>
                <c:formatCode>0.000E+00</c:formatCode>
                <c:ptCount val="12"/>
                <c:pt idx="0">
                  <c:v>1.0000000000000001E-5</c:v>
                </c:pt>
                <c:pt idx="1">
                  <c:v>9.5948022745848428E-6</c:v>
                </c:pt>
                <c:pt idx="2">
                  <c:v>9.0237524739150884E-6</c:v>
                </c:pt>
                <c:pt idx="3">
                  <c:v>8.1651119600704996E-6</c:v>
                </c:pt>
                <c:pt idx="4">
                  <c:v>7.4136266568674564E-6</c:v>
                </c:pt>
                <c:pt idx="5">
                  <c:v>6.7576886917362159E-6</c:v>
                </c:pt>
                <c:pt idx="6">
                  <c:v>4.2279944233000502E-6</c:v>
                </c:pt>
                <c:pt idx="7">
                  <c:v>2.4895690762583848E-6</c:v>
                </c:pt>
                <c:pt idx="8">
                  <c:v>1.7425485730046449E-6</c:v>
                </c:pt>
                <c:pt idx="9">
                  <c:v>1.3360306586758497E-6</c:v>
                </c:pt>
                <c:pt idx="10">
                  <c:v>6.8781303240197246E-7</c:v>
                </c:pt>
                <c:pt idx="11">
                  <c:v>2.7925295509588724E-7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1-4CA5-B508-EAB143E58363}"/>
            </c:ext>
          </c:extLst>
        </c:ser>
        <c:ser>
          <c:idx val="1"/>
          <c:order val="1"/>
          <c:tx>
            <c:v>[G]</c:v>
          </c:tx>
          <c:spPr>
            <a:ln w="12700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'TESTER-ABSORBANCE'!$Q$16:$Q$27</c:f>
              <c:numCache>
                <c:formatCode>0.000E+00</c:formatCode>
                <c:ptCount val="12"/>
                <c:pt idx="0">
                  <c:v>0</c:v>
                </c:pt>
                <c:pt idx="1">
                  <c:v>5.9480227458484236E-7</c:v>
                </c:pt>
                <c:pt idx="2">
                  <c:v>1.5237524739150878E-6</c:v>
                </c:pt>
                <c:pt idx="3">
                  <c:v>3.1651119600704983E-6</c:v>
                </c:pt>
                <c:pt idx="4">
                  <c:v>4.9136266568674566E-6</c:v>
                </c:pt>
                <c:pt idx="5">
                  <c:v>6.7576886917362159E-6</c:v>
                </c:pt>
                <c:pt idx="6">
                  <c:v>1.922799442330005E-5</c:v>
                </c:pt>
                <c:pt idx="7">
                  <c:v>4.2489569076258385E-5</c:v>
                </c:pt>
                <c:pt idx="8">
                  <c:v>6.6742548573004654E-5</c:v>
                </c:pt>
                <c:pt idx="9">
                  <c:v>9.1336030658675855E-5</c:v>
                </c:pt>
                <c:pt idx="10">
                  <c:v>1.9068781303240197E-4</c:v>
                </c:pt>
                <c:pt idx="11">
                  <c:v>4.9027925295509593E-4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41-4CA5-B508-EAB143E58363}"/>
            </c:ext>
          </c:extLst>
        </c:ser>
        <c:ser>
          <c:idx val="2"/>
          <c:order val="2"/>
          <c:tx>
            <c:v>[HG]</c:v>
          </c:tx>
          <c:spPr>
            <a:ln w="12700" cap="rnd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'TESTER-ABSORBANCE'!$R$16:$R$27</c:f>
              <c:numCache>
                <c:formatCode>0.000E+00</c:formatCode>
                <c:ptCount val="12"/>
                <c:pt idx="0">
                  <c:v>0</c:v>
                </c:pt>
                <c:pt idx="1">
                  <c:v>4.0519772541515785E-7</c:v>
                </c:pt>
                <c:pt idx="2">
                  <c:v>9.762475260849124E-7</c:v>
                </c:pt>
                <c:pt idx="3">
                  <c:v>1.8348880399295019E-6</c:v>
                </c:pt>
                <c:pt idx="4">
                  <c:v>2.5863733431325445E-6</c:v>
                </c:pt>
                <c:pt idx="5">
                  <c:v>3.2423113082637853E-6</c:v>
                </c:pt>
                <c:pt idx="6">
                  <c:v>5.7720055766999506E-6</c:v>
                </c:pt>
                <c:pt idx="7">
                  <c:v>7.5104309237416161E-6</c:v>
                </c:pt>
                <c:pt idx="8">
                  <c:v>8.2574514269953559E-6</c:v>
                </c:pt>
                <c:pt idx="9">
                  <c:v>8.6639693413241511E-6</c:v>
                </c:pt>
                <c:pt idx="10">
                  <c:v>9.3121869675980284E-6</c:v>
                </c:pt>
                <c:pt idx="11">
                  <c:v>9.7207470449041136E-6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41-4CA5-B508-EAB143E58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  <a:r>
                  <a:rPr lang="en-US" b="1" baseline="0"/>
                  <a:t> </a:t>
                </a:r>
                <a:endParaRPr lang="en-US" b="1" baseline="-25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concentration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Speciation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'TESTER-ABSORBANCE'!$R$59:$R$70</c:f>
              <c:numCache>
                <c:formatCode>0.00E+00</c:formatCode>
                <c:ptCount val="12"/>
                <c:pt idx="0">
                  <c:v>1</c:v>
                </c:pt>
                <c:pt idx="1">
                  <c:v>0.90561409509275759</c:v>
                </c:pt>
                <c:pt idx="2">
                  <c:v>0.78305677723823519</c:v>
                </c:pt>
                <c:pt idx="3">
                  <c:v>0.6202083191419191</c:v>
                </c:pt>
                <c:pt idx="4">
                  <c:v>0.49710421398095106</c:v>
                </c:pt>
                <c:pt idx="5">
                  <c:v>0.4032589944858363</c:v>
                </c:pt>
                <c:pt idx="6">
                  <c:v>0.1446556462981109</c:v>
                </c:pt>
                <c:pt idx="7">
                  <c:v>4.7429786909499408E-2</c:v>
                </c:pt>
                <c:pt idx="8">
                  <c:v>2.2706420433079189E-2</c:v>
                </c:pt>
                <c:pt idx="9">
                  <c:v>1.3184162138498622E-2</c:v>
                </c:pt>
                <c:pt idx="10">
                  <c:v>3.427278527824317E-3</c:v>
                </c:pt>
                <c:pt idx="11">
                  <c:v>5.5819415545691733E-4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7F-4F01-B5FF-D7270DFA1028}"/>
            </c:ext>
          </c:extLst>
        </c:ser>
        <c:ser>
          <c:idx val="1"/>
          <c:order val="1"/>
          <c:tx>
            <c:v>G</c:v>
          </c:tx>
          <c:spPr>
            <a:ln w="127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'TESTER-ABSORBANCE'!$S$59:$S$70</c:f>
              <c:numCache>
                <c:formatCode>0.00E+00</c:formatCode>
                <c:ptCount val="12"/>
                <c:pt idx="0">
                  <c:v>0</c:v>
                </c:pt>
                <c:pt idx="1">
                  <c:v>5.6140950927576386E-2</c:v>
                </c:pt>
                <c:pt idx="2">
                  <c:v>0.13222710895294049</c:v>
                </c:pt>
                <c:pt idx="3">
                  <c:v>0.24041663828383797</c:v>
                </c:pt>
                <c:pt idx="4">
                  <c:v>0.32947228530793476</c:v>
                </c:pt>
                <c:pt idx="5">
                  <c:v>0.4032589944858363</c:v>
                </c:pt>
                <c:pt idx="6">
                  <c:v>0.65786225851924429</c:v>
                </c:pt>
                <c:pt idx="7">
                  <c:v>0.80948595738189988</c:v>
                </c:pt>
                <c:pt idx="8">
                  <c:v>0.86969418939107723</c:v>
                </c:pt>
                <c:pt idx="9">
                  <c:v>0.90131841621384989</c:v>
                </c:pt>
                <c:pt idx="10">
                  <c:v>0.95017136392639112</c:v>
                </c:pt>
                <c:pt idx="11">
                  <c:v>0.98001116388310927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7F-4F01-B5FF-D7270DFA1028}"/>
            </c:ext>
          </c:extLst>
        </c:ser>
        <c:ser>
          <c:idx val="2"/>
          <c:order val="2"/>
          <c:tx>
            <c:v>HG</c:v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'TESTER-ABSORBANCE'!$I$16:$I$27</c:f>
              <c:numCache>
                <c:formatCode>0.00E+00</c:formatCode>
                <c:ptCount val="12"/>
                <c:pt idx="0">
                  <c:v>0</c:v>
                </c:pt>
                <c:pt idx="1">
                  <c:v>1.0000000000000002E-6</c:v>
                </c:pt>
                <c:pt idx="2">
                  <c:v>2.5000000000000002E-6</c:v>
                </c:pt>
                <c:pt idx="3">
                  <c:v>5.0000000000000004E-6</c:v>
                </c:pt>
                <c:pt idx="4">
                  <c:v>7.500000000000001E-6</c:v>
                </c:pt>
                <c:pt idx="5">
                  <c:v>1.0000000000000001E-5</c:v>
                </c:pt>
                <c:pt idx="6">
                  <c:v>2.5000000000000001E-5</c:v>
                </c:pt>
                <c:pt idx="7">
                  <c:v>5.0000000000000002E-5</c:v>
                </c:pt>
                <c:pt idx="8">
                  <c:v>7.5000000000000007E-5</c:v>
                </c:pt>
                <c:pt idx="9">
                  <c:v>1E-4</c:v>
                </c:pt>
                <c:pt idx="10">
                  <c:v>2.0000000000000001E-4</c:v>
                </c:pt>
                <c:pt idx="11">
                  <c:v>5.0000000000000001E-4</c:v>
                </c:pt>
              </c:numCache>
            </c:numRef>
          </c:xVal>
          <c:yVal>
            <c:numRef>
              <c:f>'TESTER-ABSORBANCE'!$T$59:$T$70</c:f>
              <c:numCache>
                <c:formatCode>0.00E+00</c:formatCode>
                <c:ptCount val="12"/>
                <c:pt idx="0">
                  <c:v>0</c:v>
                </c:pt>
                <c:pt idx="1">
                  <c:v>3.8244953979665985E-2</c:v>
                </c:pt>
                <c:pt idx="2">
                  <c:v>8.4716113808824406E-2</c:v>
                </c:pt>
                <c:pt idx="3">
                  <c:v>0.13937504257424302</c:v>
                </c:pt>
                <c:pt idx="4">
                  <c:v>0.17342350071111415</c:v>
                </c:pt>
                <c:pt idx="5">
                  <c:v>0.19348201102832749</c:v>
                </c:pt>
                <c:pt idx="6">
                  <c:v>0.19748209518264473</c:v>
                </c:pt>
                <c:pt idx="7">
                  <c:v>0.14308425570860073</c:v>
                </c:pt>
                <c:pt idx="8">
                  <c:v>0.10759939017584358</c:v>
                </c:pt>
                <c:pt idx="9">
                  <c:v>8.549742164765152E-2</c:v>
                </c:pt>
                <c:pt idx="10">
                  <c:v>4.6401357545784463E-2</c:v>
                </c:pt>
                <c:pt idx="11">
                  <c:v>1.9430641961433948E-2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7F-4F01-B5FF-D7270DFA1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856432"/>
        <c:axId val="965856104"/>
      </c:scatterChart>
      <c:valAx>
        <c:axId val="96585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E+0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104"/>
        <c:crosses val="autoZero"/>
        <c:crossBetween val="midCat"/>
      </c:valAx>
      <c:valAx>
        <c:axId val="965856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Molar</a:t>
                </a:r>
                <a:r>
                  <a:rPr lang="en-US" b="1" baseline="0"/>
                  <a:t> fraction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585643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emf"/><Relationship Id="rId7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chart" Target="../charts/chart2.xml"/><Relationship Id="rId9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5.png"/><Relationship Id="rId18" Type="http://schemas.openxmlformats.org/officeDocument/2006/relationships/chart" Target="../charts/chart9.xml"/><Relationship Id="rId3" Type="http://schemas.openxmlformats.org/officeDocument/2006/relationships/chart" Target="../charts/chart6.xml"/><Relationship Id="rId21" Type="http://schemas.openxmlformats.org/officeDocument/2006/relationships/chart" Target="../charts/chart12.xml"/><Relationship Id="rId7" Type="http://schemas.openxmlformats.org/officeDocument/2006/relationships/image" Target="../media/image10.png"/><Relationship Id="rId12" Type="http://schemas.openxmlformats.org/officeDocument/2006/relationships/chart" Target="../charts/chart7.xml"/><Relationship Id="rId17" Type="http://schemas.openxmlformats.org/officeDocument/2006/relationships/chart" Target="../charts/chart8.xml"/><Relationship Id="rId2" Type="http://schemas.openxmlformats.org/officeDocument/2006/relationships/chart" Target="../charts/chart5.xml"/><Relationship Id="rId16" Type="http://schemas.openxmlformats.org/officeDocument/2006/relationships/image" Target="../media/image18.png"/><Relationship Id="rId20" Type="http://schemas.openxmlformats.org/officeDocument/2006/relationships/chart" Target="../charts/chart11.xml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image" Target="../media/image17.png"/><Relationship Id="rId10" Type="http://schemas.openxmlformats.org/officeDocument/2006/relationships/image" Target="../media/image13.png"/><Relationship Id="rId19" Type="http://schemas.openxmlformats.org/officeDocument/2006/relationships/chart" Target="../charts/chart10.xml"/><Relationship Id="rId4" Type="http://schemas.openxmlformats.org/officeDocument/2006/relationships/image" Target="../media/image7.png"/><Relationship Id="rId9" Type="http://schemas.openxmlformats.org/officeDocument/2006/relationships/image" Target="../media/image12.png"/><Relationship Id="rId14" Type="http://schemas.openxmlformats.org/officeDocument/2006/relationships/image" Target="../media/image16.png"/><Relationship Id="rId22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742950</xdr:colOff>
      <xdr:row>17</xdr:row>
      <xdr:rowOff>104775</xdr:rowOff>
    </xdr:from>
    <xdr:to>
      <xdr:col>15</xdr:col>
      <xdr:colOff>742950</xdr:colOff>
      <xdr:row>31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333375</xdr:colOff>
      <xdr:row>25</xdr:row>
      <xdr:rowOff>19050</xdr:rowOff>
    </xdr:from>
    <xdr:to>
      <xdr:col>7</xdr:col>
      <xdr:colOff>19050</xdr:colOff>
      <xdr:row>25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5029200"/>
          <a:ext cx="35337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361950</xdr:colOff>
      <xdr:row>25</xdr:row>
      <xdr:rowOff>133350</xdr:rowOff>
    </xdr:from>
    <xdr:to>
      <xdr:col>7</xdr:col>
      <xdr:colOff>200025</xdr:colOff>
      <xdr:row>36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143500"/>
          <a:ext cx="36861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366712</xdr:colOff>
      <xdr:row>7</xdr:row>
      <xdr:rowOff>200024</xdr:rowOff>
    </xdr:from>
    <xdr:to>
      <xdr:col>7</xdr:col>
      <xdr:colOff>304800</xdr:colOff>
      <xdr:row>21</xdr:row>
      <xdr:rowOff>190499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409575</xdr:colOff>
      <xdr:row>8</xdr:row>
      <xdr:rowOff>142875</xdr:rowOff>
    </xdr:from>
    <xdr:to>
      <xdr:col>4</xdr:col>
      <xdr:colOff>190500</xdr:colOff>
      <xdr:row>19</xdr:row>
      <xdr:rowOff>9525</xdr:rowOff>
    </xdr:to>
    <xdr:sp macro="" textlink="">
      <xdr:nvSpPr>
        <xdr:cNvPr id="6" name="Rectángulo 5"/>
        <xdr:cNvSpPr/>
      </xdr:nvSpPr>
      <xdr:spPr>
        <a:xfrm>
          <a:off x="2743200" y="1752600"/>
          <a:ext cx="542925" cy="2114550"/>
        </a:xfrm>
        <a:prstGeom prst="rect">
          <a:avLst/>
        </a:prstGeom>
        <a:solidFill>
          <a:srgbClr val="C00000">
            <a:alpha val="16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342899</xdr:colOff>
      <xdr:row>8</xdr:row>
      <xdr:rowOff>142874</xdr:rowOff>
    </xdr:from>
    <xdr:to>
      <xdr:col>7</xdr:col>
      <xdr:colOff>123824</xdr:colOff>
      <xdr:row>19</xdr:row>
      <xdr:rowOff>9524</xdr:rowOff>
    </xdr:to>
    <xdr:sp macro="" textlink="">
      <xdr:nvSpPr>
        <xdr:cNvPr id="7" name="Rectángulo 6"/>
        <xdr:cNvSpPr/>
      </xdr:nvSpPr>
      <xdr:spPr>
        <a:xfrm>
          <a:off x="4962524" y="1752599"/>
          <a:ext cx="542925" cy="2114550"/>
        </a:xfrm>
        <a:prstGeom prst="rect">
          <a:avLst/>
        </a:prstGeom>
        <a:solidFill>
          <a:srgbClr val="C00000">
            <a:alpha val="16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10</xdr:col>
      <xdr:colOff>523875</xdr:colOff>
      <xdr:row>33</xdr:row>
      <xdr:rowOff>47625</xdr:rowOff>
    </xdr:from>
    <xdr:to>
      <xdr:col>15</xdr:col>
      <xdr:colOff>285750</xdr:colOff>
      <xdr:row>40</xdr:row>
      <xdr:rowOff>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6581775"/>
          <a:ext cx="35718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495300</xdr:colOff>
      <xdr:row>39</xdr:row>
      <xdr:rowOff>104775</xdr:rowOff>
    </xdr:from>
    <xdr:to>
      <xdr:col>15</xdr:col>
      <xdr:colOff>295275</xdr:colOff>
      <xdr:row>48</xdr:row>
      <xdr:rowOff>114300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7781925"/>
          <a:ext cx="3609975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476250</xdr:colOff>
      <xdr:row>4</xdr:row>
      <xdr:rowOff>38100</xdr:rowOff>
    </xdr:from>
    <xdr:to>
      <xdr:col>16</xdr:col>
      <xdr:colOff>9525</xdr:colOff>
      <xdr:row>11</xdr:row>
      <xdr:rowOff>19050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819150"/>
          <a:ext cx="36861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323850</xdr:colOff>
      <xdr:row>12</xdr:row>
      <xdr:rowOff>85725</xdr:rowOff>
    </xdr:from>
    <xdr:to>
      <xdr:col>13</xdr:col>
      <xdr:colOff>514350</xdr:colOff>
      <xdr:row>13</xdr:row>
      <xdr:rowOff>47625</xdr:rowOff>
    </xdr:to>
    <xdr:sp macro="" textlink="">
      <xdr:nvSpPr>
        <xdr:cNvPr id="11" name="Flecha abajo 10"/>
        <xdr:cNvSpPr/>
      </xdr:nvSpPr>
      <xdr:spPr>
        <a:xfrm>
          <a:off x="10277475" y="2514600"/>
          <a:ext cx="190500" cy="200025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23</xdr:col>
      <xdr:colOff>0</xdr:colOff>
      <xdr:row>24</xdr:row>
      <xdr:rowOff>57150</xdr:rowOff>
    </xdr:from>
    <xdr:to>
      <xdr:col>29</xdr:col>
      <xdr:colOff>0</xdr:colOff>
      <xdr:row>38</xdr:row>
      <xdr:rowOff>142875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323850</xdr:colOff>
      <xdr:row>7</xdr:row>
      <xdr:rowOff>85725</xdr:rowOff>
    </xdr:from>
    <xdr:to>
      <xdr:col>26</xdr:col>
      <xdr:colOff>514350</xdr:colOff>
      <xdr:row>8</xdr:row>
      <xdr:rowOff>47625</xdr:rowOff>
    </xdr:to>
    <xdr:sp macro="" textlink="">
      <xdr:nvSpPr>
        <xdr:cNvPr id="13" name="Flecha abajo 12"/>
        <xdr:cNvSpPr/>
      </xdr:nvSpPr>
      <xdr:spPr>
        <a:xfrm>
          <a:off x="20583525" y="1495425"/>
          <a:ext cx="190500" cy="161925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33</xdr:col>
      <xdr:colOff>323850</xdr:colOff>
      <xdr:row>7</xdr:row>
      <xdr:rowOff>85725</xdr:rowOff>
    </xdr:from>
    <xdr:to>
      <xdr:col>33</xdr:col>
      <xdr:colOff>514350</xdr:colOff>
      <xdr:row>8</xdr:row>
      <xdr:rowOff>47625</xdr:rowOff>
    </xdr:to>
    <xdr:sp macro="" textlink="">
      <xdr:nvSpPr>
        <xdr:cNvPr id="14" name="Flecha abajo 13"/>
        <xdr:cNvSpPr/>
      </xdr:nvSpPr>
      <xdr:spPr>
        <a:xfrm>
          <a:off x="25917525" y="1495425"/>
          <a:ext cx="190500" cy="161925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40</xdr:col>
      <xdr:colOff>323850</xdr:colOff>
      <xdr:row>7</xdr:row>
      <xdr:rowOff>85725</xdr:rowOff>
    </xdr:from>
    <xdr:to>
      <xdr:col>40</xdr:col>
      <xdr:colOff>514350</xdr:colOff>
      <xdr:row>8</xdr:row>
      <xdr:rowOff>47625</xdr:rowOff>
    </xdr:to>
    <xdr:sp macro="" textlink="">
      <xdr:nvSpPr>
        <xdr:cNvPr id="15" name="Flecha abajo 14"/>
        <xdr:cNvSpPr/>
      </xdr:nvSpPr>
      <xdr:spPr>
        <a:xfrm>
          <a:off x="31251525" y="1495425"/>
          <a:ext cx="190500" cy="161925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29</xdr:col>
      <xdr:colOff>295275</xdr:colOff>
      <xdr:row>24</xdr:row>
      <xdr:rowOff>38100</xdr:rowOff>
    </xdr:from>
    <xdr:to>
      <xdr:col>35</xdr:col>
      <xdr:colOff>295275</xdr:colOff>
      <xdr:row>38</xdr:row>
      <xdr:rowOff>123825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355147</xdr:colOff>
      <xdr:row>28</xdr:row>
      <xdr:rowOff>107497</xdr:rowOff>
    </xdr:from>
    <xdr:to>
      <xdr:col>14</xdr:col>
      <xdr:colOff>17690</xdr:colOff>
      <xdr:row>30</xdr:row>
      <xdr:rowOff>88447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3422" y="5641522"/>
          <a:ext cx="3443968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337521</xdr:colOff>
      <xdr:row>31</xdr:row>
      <xdr:rowOff>7539</xdr:rowOff>
    </xdr:from>
    <xdr:to>
      <xdr:col>15</xdr:col>
      <xdr:colOff>228664</xdr:colOff>
      <xdr:row>45</xdr:row>
      <xdr:rowOff>79360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455840</xdr:colOff>
      <xdr:row>31</xdr:row>
      <xdr:rowOff>2722</xdr:rowOff>
    </xdr:from>
    <xdr:to>
      <xdr:col>20</xdr:col>
      <xdr:colOff>312539</xdr:colOff>
      <xdr:row>45</xdr:row>
      <xdr:rowOff>78922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456940</xdr:colOff>
      <xdr:row>28</xdr:row>
      <xdr:rowOff>198875</xdr:rowOff>
    </xdr:from>
    <xdr:to>
      <xdr:col>18</xdr:col>
      <xdr:colOff>1109506</xdr:colOff>
      <xdr:row>30</xdr:row>
      <xdr:rowOff>47228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190" y="5732900"/>
          <a:ext cx="1824141" cy="276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272647</xdr:colOff>
      <xdr:row>48</xdr:row>
      <xdr:rowOff>28255</xdr:rowOff>
    </xdr:from>
    <xdr:to>
      <xdr:col>16</xdr:col>
      <xdr:colOff>192726</xdr:colOff>
      <xdr:row>50</xdr:row>
      <xdr:rowOff>13584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0347" y="9448480"/>
          <a:ext cx="2377529" cy="375854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13</xdr:col>
      <xdr:colOff>273707</xdr:colOff>
      <xdr:row>46</xdr:row>
      <xdr:rowOff>18717</xdr:rowOff>
    </xdr:from>
    <xdr:to>
      <xdr:col>15</xdr:col>
      <xdr:colOff>240753</xdr:colOff>
      <xdr:row>48</xdr:row>
      <xdr:rowOff>4046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1407" y="9029367"/>
          <a:ext cx="1576771" cy="394904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13</xdr:col>
      <xdr:colOff>267351</xdr:colOff>
      <xdr:row>52</xdr:row>
      <xdr:rowOff>60393</xdr:rowOff>
    </xdr:from>
    <xdr:to>
      <xdr:col>14</xdr:col>
      <xdr:colOff>639875</xdr:colOff>
      <xdr:row>54</xdr:row>
      <xdr:rowOff>134827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5051" y="10299768"/>
          <a:ext cx="1134524" cy="464959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13</xdr:col>
      <xdr:colOff>261700</xdr:colOff>
      <xdr:row>50</xdr:row>
      <xdr:rowOff>43793</xdr:rowOff>
    </xdr:from>
    <xdr:to>
      <xdr:col>15</xdr:col>
      <xdr:colOff>547450</xdr:colOff>
      <xdr:row>52</xdr:row>
      <xdr:rowOff>29123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9400" y="9854543"/>
          <a:ext cx="1895475" cy="413955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19</xdr:col>
      <xdr:colOff>138443</xdr:colOff>
      <xdr:row>50</xdr:row>
      <xdr:rowOff>1412</xdr:rowOff>
    </xdr:from>
    <xdr:to>
      <xdr:col>20</xdr:col>
      <xdr:colOff>618609</xdr:colOff>
      <xdr:row>51</xdr:row>
      <xdr:rowOff>1412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9743" y="9812162"/>
          <a:ext cx="1270741" cy="190500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19</xdr:col>
      <xdr:colOff>128908</xdr:colOff>
      <xdr:row>47</xdr:row>
      <xdr:rowOff>4238</xdr:rowOff>
    </xdr:from>
    <xdr:to>
      <xdr:col>19</xdr:col>
      <xdr:colOff>710981</xdr:colOff>
      <xdr:row>47</xdr:row>
      <xdr:rowOff>193689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0208" y="9233963"/>
          <a:ext cx="582073" cy="189451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5</xdr:col>
      <xdr:colOff>10242</xdr:colOff>
      <xdr:row>28</xdr:row>
      <xdr:rowOff>71694</xdr:rowOff>
    </xdr:from>
    <xdr:to>
      <xdr:col>7</xdr:col>
      <xdr:colOff>578874</xdr:colOff>
      <xdr:row>30</xdr:row>
      <xdr:rowOff>58072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3142" y="5605719"/>
          <a:ext cx="2092632" cy="415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317501</xdr:colOff>
      <xdr:row>31</xdr:row>
      <xdr:rowOff>10241</xdr:rowOff>
    </xdr:from>
    <xdr:to>
      <xdr:col>9</xdr:col>
      <xdr:colOff>177919</xdr:colOff>
      <xdr:row>45</xdr:row>
      <xdr:rowOff>82062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747662</xdr:colOff>
      <xdr:row>48</xdr:row>
      <xdr:rowOff>10240</xdr:rowOff>
    </xdr:from>
    <xdr:to>
      <xdr:col>9</xdr:col>
      <xdr:colOff>342184</xdr:colOff>
      <xdr:row>49</xdr:row>
      <xdr:rowOff>191933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562" y="9430465"/>
          <a:ext cx="2375822" cy="372193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7</xdr:col>
      <xdr:colOff>0</xdr:colOff>
      <xdr:row>46</xdr:row>
      <xdr:rowOff>1</xdr:rowOff>
    </xdr:from>
    <xdr:to>
      <xdr:col>8</xdr:col>
      <xdr:colOff>390525</xdr:colOff>
      <xdr:row>47</xdr:row>
      <xdr:rowOff>171451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9010651"/>
          <a:ext cx="1390650" cy="390525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6</xdr:col>
      <xdr:colOff>747662</xdr:colOff>
      <xdr:row>52</xdr:row>
      <xdr:rowOff>40968</xdr:rowOff>
    </xdr:from>
    <xdr:to>
      <xdr:col>8</xdr:col>
      <xdr:colOff>351709</xdr:colOff>
      <xdr:row>53</xdr:row>
      <xdr:rowOff>183843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562" y="10280343"/>
          <a:ext cx="1366172" cy="342900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6</xdr:col>
      <xdr:colOff>747662</xdr:colOff>
      <xdr:row>50</xdr:row>
      <xdr:rowOff>20484</xdr:rowOff>
    </xdr:from>
    <xdr:to>
      <xdr:col>9</xdr:col>
      <xdr:colOff>113584</xdr:colOff>
      <xdr:row>51</xdr:row>
      <xdr:rowOff>232901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562" y="9831234"/>
          <a:ext cx="2147222" cy="402917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3</xdr:col>
      <xdr:colOff>502097</xdr:colOff>
      <xdr:row>55</xdr:row>
      <xdr:rowOff>7184</xdr:rowOff>
    </xdr:from>
    <xdr:to>
      <xdr:col>8</xdr:col>
      <xdr:colOff>1010160</xdr:colOff>
      <xdr:row>69</xdr:row>
      <xdr:rowOff>120947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184669</xdr:colOff>
      <xdr:row>55</xdr:row>
      <xdr:rowOff>9719</xdr:rowOff>
    </xdr:from>
    <xdr:to>
      <xdr:col>13</xdr:col>
      <xdr:colOff>352553</xdr:colOff>
      <xdr:row>69</xdr:row>
      <xdr:rowOff>123482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506014</xdr:colOff>
      <xdr:row>86</xdr:row>
      <xdr:rowOff>2</xdr:rowOff>
    </xdr:from>
    <xdr:to>
      <xdr:col>9</xdr:col>
      <xdr:colOff>2047</xdr:colOff>
      <xdr:row>100</xdr:row>
      <xdr:rowOff>143530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178594</xdr:colOff>
      <xdr:row>86</xdr:row>
      <xdr:rowOff>14883</xdr:rowOff>
    </xdr:from>
    <xdr:to>
      <xdr:col>13</xdr:col>
      <xdr:colOff>329470</xdr:colOff>
      <xdr:row>100</xdr:row>
      <xdr:rowOff>158411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481484</xdr:colOff>
      <xdr:row>71</xdr:row>
      <xdr:rowOff>0</xdr:rowOff>
    </xdr:from>
    <xdr:to>
      <xdr:col>8</xdr:col>
      <xdr:colOff>989547</xdr:colOff>
      <xdr:row>85</xdr:row>
      <xdr:rowOff>166098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164056</xdr:colOff>
      <xdr:row>71</xdr:row>
      <xdr:rowOff>2535</xdr:rowOff>
    </xdr:from>
    <xdr:to>
      <xdr:col>13</xdr:col>
      <xdr:colOff>331940</xdr:colOff>
      <xdr:row>85</xdr:row>
      <xdr:rowOff>168633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34</xdr:row>
      <xdr:rowOff>9525</xdr:rowOff>
    </xdr:from>
    <xdr:to>
      <xdr:col>3</xdr:col>
      <xdr:colOff>914400</xdr:colOff>
      <xdr:row>35</xdr:row>
      <xdr:rowOff>28575</xdr:rowOff>
    </xdr:to>
    <xdr:sp macro="" textlink="">
      <xdr:nvSpPr>
        <xdr:cNvPr id="2" name="Flecha derecha 1"/>
        <xdr:cNvSpPr/>
      </xdr:nvSpPr>
      <xdr:spPr>
        <a:xfrm>
          <a:off x="2981325" y="6572250"/>
          <a:ext cx="733425" cy="2095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34</xdr:row>
      <xdr:rowOff>9525</xdr:rowOff>
    </xdr:from>
    <xdr:to>
      <xdr:col>3</xdr:col>
      <xdr:colOff>914400</xdr:colOff>
      <xdr:row>35</xdr:row>
      <xdr:rowOff>28575</xdr:rowOff>
    </xdr:to>
    <xdr:sp macro="" textlink="">
      <xdr:nvSpPr>
        <xdr:cNvPr id="2" name="Flecha derecha 1"/>
        <xdr:cNvSpPr/>
      </xdr:nvSpPr>
      <xdr:spPr>
        <a:xfrm>
          <a:off x="2981325" y="6581775"/>
          <a:ext cx="733425" cy="2095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355600</xdr:colOff>
      <xdr:row>38</xdr:row>
      <xdr:rowOff>50800</xdr:rowOff>
    </xdr:from>
    <xdr:to>
      <xdr:col>13</xdr:col>
      <xdr:colOff>469900</xdr:colOff>
      <xdr:row>57</xdr:row>
      <xdr:rowOff>88900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254000</xdr:colOff>
      <xdr:row>60</xdr:row>
      <xdr:rowOff>38100</xdr:rowOff>
    </xdr:from>
    <xdr:to>
      <xdr:col>12</xdr:col>
      <xdr:colOff>749300</xdr:colOff>
      <xdr:row>74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508000</xdr:colOff>
      <xdr:row>38</xdr:row>
      <xdr:rowOff>63500</xdr:rowOff>
    </xdr:from>
    <xdr:to>
      <xdr:col>19</xdr:col>
      <xdr:colOff>101600</xdr:colOff>
      <xdr:row>57</xdr:row>
      <xdr:rowOff>101600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23811</xdr:colOff>
      <xdr:row>2</xdr:row>
      <xdr:rowOff>28573</xdr:rowOff>
    </xdr:from>
    <xdr:to>
      <xdr:col>20</xdr:col>
      <xdr:colOff>481011</xdr:colOff>
      <xdr:row>21</xdr:row>
      <xdr:rowOff>66673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23</xdr:row>
      <xdr:rowOff>19050</xdr:rowOff>
    </xdr:from>
    <xdr:to>
      <xdr:col>23</xdr:col>
      <xdr:colOff>309564</xdr:colOff>
      <xdr:row>43</xdr:row>
      <xdr:rowOff>152401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opLeftCell="R1" zoomScale="86" zoomScaleNormal="86" workbookViewId="0">
      <selection activeCell="AC10" sqref="AC10"/>
    </sheetView>
  </sheetViews>
  <sheetFormatPr baseColWidth="10" defaultRowHeight="15" x14ac:dyDescent="0.25"/>
  <cols>
    <col min="2" max="2" width="11.5703125" style="2" bestFit="1" customWidth="1"/>
    <col min="3" max="3" width="12" style="2" bestFit="1" customWidth="1"/>
    <col min="5" max="6" width="11.42578125" style="2"/>
    <col min="16" max="16" width="16.5703125" customWidth="1"/>
    <col min="20" max="20" width="11.85546875" bestFit="1" customWidth="1"/>
    <col min="22" max="22" width="11.85546875" bestFit="1" customWidth="1"/>
  </cols>
  <sheetData>
    <row r="1" spans="1:44" x14ac:dyDescent="0.25">
      <c r="A1" s="180" t="s">
        <v>131</v>
      </c>
      <c r="D1" s="226"/>
    </row>
    <row r="2" spans="1:44" ht="15.75" thickBot="1" x14ac:dyDescent="0.3"/>
    <row r="3" spans="1:44" ht="15.75" customHeight="1" x14ac:dyDescent="0.35">
      <c r="A3" s="227" t="s">
        <v>132</v>
      </c>
      <c r="B3" s="228" t="s">
        <v>11</v>
      </c>
      <c r="C3" s="229" t="s">
        <v>133</v>
      </c>
    </row>
    <row r="4" spans="1:44" x14ac:dyDescent="0.25">
      <c r="A4" s="230">
        <v>1E-3</v>
      </c>
      <c r="B4" s="231">
        <f t="shared" ref="B4:B44" si="0">A4/((1-A4)*($E$7-($D$7*A4)))</f>
        <v>200.40060080100116</v>
      </c>
      <c r="L4" s="61" t="s">
        <v>134</v>
      </c>
    </row>
    <row r="5" spans="1:44" ht="15.75" thickBot="1" x14ac:dyDescent="0.3">
      <c r="A5" s="230">
        <f>A4+0.025</f>
        <v>2.6000000000000002E-2</v>
      </c>
      <c r="B5" s="231">
        <f t="shared" si="0"/>
        <v>5481.3234444636528</v>
      </c>
      <c r="D5" s="19" t="s">
        <v>135</v>
      </c>
      <c r="F5" s="130"/>
      <c r="X5" s="61" t="s">
        <v>136</v>
      </c>
    </row>
    <row r="6" spans="1:44" ht="18" x14ac:dyDescent="0.35">
      <c r="A6" s="230">
        <f t="shared" ref="A6:A43" si="1">A5+0.025</f>
        <v>5.1000000000000004E-2</v>
      </c>
      <c r="B6" s="231">
        <f t="shared" si="0"/>
        <v>11325.770235653747</v>
      </c>
      <c r="D6" s="88" t="s">
        <v>137</v>
      </c>
      <c r="E6" s="125" t="s">
        <v>138</v>
      </c>
      <c r="F6" s="62"/>
      <c r="X6" s="61" t="s">
        <v>139</v>
      </c>
    </row>
    <row r="7" spans="1:44" ht="15.75" thickBot="1" x14ac:dyDescent="0.3">
      <c r="A7" s="230">
        <f t="shared" si="1"/>
        <v>7.6000000000000012E-2</v>
      </c>
      <c r="B7" s="231">
        <f t="shared" si="0"/>
        <v>17803.264556511313</v>
      </c>
      <c r="D7" s="232">
        <v>5.0000000000000004E-6</v>
      </c>
      <c r="E7" s="232">
        <v>5.0000000000000004E-6</v>
      </c>
      <c r="F7" s="60"/>
      <c r="X7" s="61" t="s">
        <v>140</v>
      </c>
    </row>
    <row r="8" spans="1:44" ht="15.75" thickBot="1" x14ac:dyDescent="0.3">
      <c r="A8" s="230">
        <f t="shared" si="1"/>
        <v>0.10100000000000001</v>
      </c>
      <c r="B8" s="231">
        <f t="shared" si="0"/>
        <v>24993.782487277298</v>
      </c>
    </row>
    <row r="9" spans="1:44" ht="18" x14ac:dyDescent="0.35">
      <c r="A9" s="230">
        <f t="shared" si="1"/>
        <v>0.126</v>
      </c>
      <c r="B9" s="231">
        <f t="shared" si="0"/>
        <v>32989.647534416574</v>
      </c>
      <c r="Y9" s="88" t="s">
        <v>137</v>
      </c>
      <c r="Z9" s="233" t="s">
        <v>48</v>
      </c>
      <c r="AA9" s="125" t="s">
        <v>141</v>
      </c>
      <c r="AF9" s="88" t="s">
        <v>137</v>
      </c>
      <c r="AG9" s="233" t="s">
        <v>52</v>
      </c>
      <c r="AH9" s="125" t="s">
        <v>141</v>
      </c>
      <c r="AM9" s="88" t="s">
        <v>137</v>
      </c>
      <c r="AN9" s="233" t="s">
        <v>142</v>
      </c>
      <c r="AO9" s="125" t="s">
        <v>141</v>
      </c>
    </row>
    <row r="10" spans="1:44" ht="15.75" thickBot="1" x14ac:dyDescent="0.3">
      <c r="A10" s="230">
        <f t="shared" si="1"/>
        <v>0.151</v>
      </c>
      <c r="B10" s="231">
        <f t="shared" si="0"/>
        <v>41897.833105115002</v>
      </c>
      <c r="J10" s="9"/>
      <c r="Y10" s="232">
        <v>5.0000000000000004E-6</v>
      </c>
      <c r="Z10" s="234">
        <v>100000</v>
      </c>
      <c r="AA10" s="235">
        <f>Z10*Y10</f>
        <v>0.5</v>
      </c>
      <c r="AF10" s="236">
        <f>Y10</f>
        <v>5.0000000000000004E-6</v>
      </c>
      <c r="AG10" s="234">
        <v>1000000</v>
      </c>
      <c r="AH10" s="235">
        <f>AG10*AF10</f>
        <v>5</v>
      </c>
      <c r="AM10" s="236">
        <f>Y10</f>
        <v>5.0000000000000004E-6</v>
      </c>
      <c r="AN10" s="234">
        <v>10000000</v>
      </c>
      <c r="AO10" s="235">
        <f>AN10*AM10</f>
        <v>50.000000000000007</v>
      </c>
    </row>
    <row r="11" spans="1:44" x14ac:dyDescent="0.25">
      <c r="A11" s="230">
        <f t="shared" si="1"/>
        <v>0.17599999999999999</v>
      </c>
      <c r="B11" s="231">
        <f t="shared" si="0"/>
        <v>51842.77500235648</v>
      </c>
    </row>
    <row r="12" spans="1:44" ht="15.75" thickBot="1" x14ac:dyDescent="0.3">
      <c r="A12" s="230">
        <f t="shared" si="1"/>
        <v>0.20099999999999998</v>
      </c>
      <c r="B12" s="231">
        <f t="shared" si="0"/>
        <v>62969.826175084287</v>
      </c>
      <c r="G12" s="60"/>
      <c r="X12" t="s">
        <v>143</v>
      </c>
      <c r="AE12" t="s">
        <v>143</v>
      </c>
      <c r="AL12" t="s">
        <v>143</v>
      </c>
    </row>
    <row r="13" spans="1:44" ht="18.75" thickBot="1" x14ac:dyDescent="0.4">
      <c r="A13" s="230">
        <f t="shared" si="1"/>
        <v>0.22599999999999998</v>
      </c>
      <c r="B13" s="231">
        <f t="shared" si="0"/>
        <v>75449.525602761569</v>
      </c>
      <c r="L13" s="61" t="s">
        <v>144</v>
      </c>
      <c r="Q13" s="88" t="s">
        <v>38</v>
      </c>
      <c r="R13" s="89" t="s">
        <v>145</v>
      </c>
      <c r="S13" s="89" t="s">
        <v>24</v>
      </c>
      <c r="T13" s="89" t="s">
        <v>25</v>
      </c>
      <c r="U13" s="89" t="s">
        <v>26</v>
      </c>
      <c r="V13" s="128" t="s">
        <v>146</v>
      </c>
      <c r="X13" s="237" t="s">
        <v>38</v>
      </c>
      <c r="Y13" s="238" t="s">
        <v>147</v>
      </c>
      <c r="Z13" s="238" t="s">
        <v>24</v>
      </c>
      <c r="AA13" s="238" t="s">
        <v>25</v>
      </c>
      <c r="AB13" s="238" t="s">
        <v>26</v>
      </c>
      <c r="AC13" s="238" t="s">
        <v>148</v>
      </c>
      <c r="AD13" s="239" t="s">
        <v>29</v>
      </c>
      <c r="AE13" s="237" t="s">
        <v>38</v>
      </c>
      <c r="AF13" s="238" t="s">
        <v>147</v>
      </c>
      <c r="AG13" s="238" t="s">
        <v>24</v>
      </c>
      <c r="AH13" s="238" t="s">
        <v>25</v>
      </c>
      <c r="AI13" s="238" t="s">
        <v>26</v>
      </c>
      <c r="AJ13" s="238" t="s">
        <v>148</v>
      </c>
      <c r="AK13" s="239" t="s">
        <v>29</v>
      </c>
      <c r="AL13" s="237" t="s">
        <v>38</v>
      </c>
      <c r="AM13" s="238" t="s">
        <v>147</v>
      </c>
      <c r="AN13" s="238" t="s">
        <v>24</v>
      </c>
      <c r="AO13" s="238" t="s">
        <v>25</v>
      </c>
      <c r="AP13" s="238" t="s">
        <v>26</v>
      </c>
      <c r="AQ13" s="238" t="s">
        <v>148</v>
      </c>
      <c r="AR13" s="239" t="s">
        <v>29</v>
      </c>
    </row>
    <row r="14" spans="1:44" ht="18" x14ac:dyDescent="0.35">
      <c r="A14" s="230">
        <f t="shared" si="1"/>
        <v>0.251</v>
      </c>
      <c r="B14" s="231">
        <f t="shared" si="0"/>
        <v>89482.906447582078</v>
      </c>
      <c r="L14" s="88" t="s">
        <v>137</v>
      </c>
      <c r="M14" s="233" t="s">
        <v>11</v>
      </c>
      <c r="N14" s="125" t="s">
        <v>141</v>
      </c>
      <c r="P14" s="3"/>
      <c r="Q14" s="240">
        <v>9.9999999999999995E-8</v>
      </c>
      <c r="R14" s="199">
        <f t="shared" ref="R14:R45" si="2">Q14/$L$15</f>
        <v>0.1</v>
      </c>
      <c r="S14" s="241">
        <f t="shared" ref="S14:S45" si="3">$N$15</f>
        <v>9.9999999999999992E-2</v>
      </c>
      <c r="T14" s="242">
        <f t="shared" ref="T14:T45" si="4">-($N$15*R14+$N$15+1)</f>
        <v>-1.1099999999999999</v>
      </c>
      <c r="U14" s="241">
        <f t="shared" ref="U14:U45" si="5">$N$15*R14</f>
        <v>0.01</v>
      </c>
      <c r="V14" s="243">
        <f>(-T14-SQRT((T14*T14)-(4*S14*U14)))/(2*S14)</f>
        <v>9.0163328159864609E-3</v>
      </c>
      <c r="X14" s="244">
        <f>Y14*$Y$10</f>
        <v>5.0000000000000008E-7</v>
      </c>
      <c r="Y14" s="245">
        <v>0.1</v>
      </c>
      <c r="Z14" s="146">
        <f>$AA$10</f>
        <v>0.5</v>
      </c>
      <c r="AA14" s="186">
        <f>-($AA$10*Y14+$AA$10+1)</f>
        <v>-1.55</v>
      </c>
      <c r="AB14" s="146">
        <f>$AA$10*Y14</f>
        <v>0.05</v>
      </c>
      <c r="AC14" s="186">
        <f>(-AA14-SQRT((AA14*AA14)-(4*Z14*AB14)))/(2*Z14)</f>
        <v>3.2600909450648086E-2</v>
      </c>
      <c r="AD14" s="246">
        <f>AC14*$Y$10</f>
        <v>1.6300454725324045E-7</v>
      </c>
      <c r="AE14" s="244">
        <f>AF14*$AF$10</f>
        <v>5.0000000000000008E-7</v>
      </c>
      <c r="AF14" s="186">
        <f>Y14</f>
        <v>0.1</v>
      </c>
      <c r="AG14" s="146">
        <f>$AH$10</f>
        <v>5</v>
      </c>
      <c r="AH14" s="186">
        <f>-($AH$10*AF14+$AH$10+1)</f>
        <v>-6.5</v>
      </c>
      <c r="AI14" s="146">
        <f>$AH$10*AF14</f>
        <v>0.5</v>
      </c>
      <c r="AJ14" s="186">
        <f>(-AH14-SQRT((AH14*AH14)-(4*AG14*AI14)))/(2*AG14)</f>
        <v>8.2109165419972638E-2</v>
      </c>
      <c r="AK14" s="246">
        <f>AJ14*$AF$10</f>
        <v>4.1054582709986321E-7</v>
      </c>
      <c r="AL14" s="244">
        <f>AM14*$AM$10</f>
        <v>5.0000000000000008E-7</v>
      </c>
      <c r="AM14" s="186">
        <f t="shared" ref="AM14:AM23" si="6">Y14</f>
        <v>0.1</v>
      </c>
      <c r="AN14" s="146">
        <f t="shared" ref="AN14:AN23" si="7">$AO$10</f>
        <v>50.000000000000007</v>
      </c>
      <c r="AO14" s="186">
        <f>-($AO$10*AM14+$AO$10+1)</f>
        <v>-56.000000000000007</v>
      </c>
      <c r="AP14" s="146">
        <f t="shared" ref="AP14:AP23" si="8">$AO$10*AM14</f>
        <v>5.0000000000000009</v>
      </c>
      <c r="AQ14" s="186">
        <f t="shared" ref="AQ14:AQ23" si="9">(-AO14-SQRT((AO14*AO14)-(4*AN14*AP14)))/(2*AN14)</f>
        <v>9.7831199668346316E-2</v>
      </c>
      <c r="AR14" s="246">
        <f>AQ14*$AM$10</f>
        <v>4.8915599834173159E-7</v>
      </c>
    </row>
    <row r="15" spans="1:44" ht="15.75" thickBot="1" x14ac:dyDescent="0.3">
      <c r="A15" s="230">
        <f t="shared" si="1"/>
        <v>0.27600000000000002</v>
      </c>
      <c r="B15" s="231">
        <f t="shared" si="0"/>
        <v>105308.14077714356</v>
      </c>
      <c r="D15" s="199"/>
      <c r="H15" s="199"/>
      <c r="L15" s="232">
        <v>9.9999999999999995E-7</v>
      </c>
      <c r="M15" s="234">
        <v>100000</v>
      </c>
      <c r="N15" s="235">
        <f>M15*L15</f>
        <v>9.9999999999999992E-2</v>
      </c>
      <c r="Q15" s="240">
        <f>Q14*2</f>
        <v>1.9999999999999999E-7</v>
      </c>
      <c r="R15" s="199">
        <f t="shared" si="2"/>
        <v>0.2</v>
      </c>
      <c r="S15" s="241">
        <f t="shared" si="3"/>
        <v>9.9999999999999992E-2</v>
      </c>
      <c r="T15" s="242">
        <f t="shared" si="4"/>
        <v>-1.1200000000000001</v>
      </c>
      <c r="U15" s="241">
        <f t="shared" si="5"/>
        <v>0.02</v>
      </c>
      <c r="V15" s="243">
        <f t="shared" ref="V15:V45" si="10">(-T15-SQRT((T15*T15)-(4*S15*U15)))/(2*S15)</f>
        <v>1.7885705218855241E-2</v>
      </c>
      <c r="X15" s="244">
        <f t="shared" ref="X15:X23" si="11">Y15*$Y$10</f>
        <v>1.2500000000000001E-6</v>
      </c>
      <c r="Y15" s="245">
        <v>0.25</v>
      </c>
      <c r="Z15" s="146">
        <f t="shared" ref="Z15:Z23" si="12">$AA$10</f>
        <v>0.5</v>
      </c>
      <c r="AA15" s="186">
        <f t="shared" ref="AA15:AA23" si="13">-($AA$10*Y15+$AA$10+1)</f>
        <v>-1.625</v>
      </c>
      <c r="AB15" s="146">
        <f t="shared" ref="AB15:AB23" si="14">$AA$10*Y15</f>
        <v>0.125</v>
      </c>
      <c r="AC15" s="186">
        <f t="shared" ref="AC15:AC23" si="15">(-AA15-SQRT((AA15*AA15)-(4*Z15*AB15)))/(2*Z15)</f>
        <v>7.8835390393377391E-2</v>
      </c>
      <c r="AD15" s="246">
        <f t="shared" ref="AD15:AD23" si="16">AC15*$Y$10</f>
        <v>3.94176951966887E-7</v>
      </c>
      <c r="AE15" s="244">
        <f t="shared" ref="AE15:AE23" si="17">AF15*$AF$10</f>
        <v>1.2500000000000001E-6</v>
      </c>
      <c r="AF15" s="186">
        <f t="shared" ref="AF15:AF23" si="18">Y15</f>
        <v>0.25</v>
      </c>
      <c r="AG15" s="146">
        <f t="shared" ref="AG15:AG23" si="19">$AH$10</f>
        <v>5</v>
      </c>
      <c r="AH15" s="186">
        <f t="shared" ref="AH15:AH23" si="20">-($AH$10*AF15+$AH$10+1)</f>
        <v>-7.25</v>
      </c>
      <c r="AI15" s="146">
        <f t="shared" ref="AI15:AI23" si="21">$AH$10*AF15</f>
        <v>1.25</v>
      </c>
      <c r="AJ15" s="186">
        <f t="shared" ref="AJ15:AJ23" si="22">(-AH15-SQRT((AH15*AH15)-(4*AG15*AI15)))/(2*AG15)</f>
        <v>0.2</v>
      </c>
      <c r="AK15" s="246">
        <f t="shared" ref="AK15:AK23" si="23">AJ15*$AF$10</f>
        <v>1.0000000000000002E-6</v>
      </c>
      <c r="AL15" s="244">
        <f t="shared" ref="AL15:AL23" si="24">AM15*$AM$10</f>
        <v>1.2500000000000001E-6</v>
      </c>
      <c r="AM15" s="186">
        <f t="shared" si="6"/>
        <v>0.25</v>
      </c>
      <c r="AN15" s="146">
        <f t="shared" si="7"/>
        <v>50.000000000000007</v>
      </c>
      <c r="AO15" s="186">
        <f t="shared" ref="AO15:AO23" si="25">-($AO$10*AM15+$AO$10+1)</f>
        <v>-63.500000000000007</v>
      </c>
      <c r="AP15" s="146">
        <f t="shared" si="8"/>
        <v>12.500000000000002</v>
      </c>
      <c r="AQ15" s="186">
        <f t="shared" si="9"/>
        <v>0.24356034947900337</v>
      </c>
      <c r="AR15" s="246">
        <f t="shared" ref="AR15:AR23" si="26">AQ15*$AM$10</f>
        <v>1.2178017473950169E-6</v>
      </c>
    </row>
    <row r="16" spans="1:44" x14ac:dyDescent="0.25">
      <c r="A16" s="230">
        <f t="shared" si="1"/>
        <v>0.30100000000000005</v>
      </c>
      <c r="B16" s="231">
        <f t="shared" si="0"/>
        <v>123208.9168871943</v>
      </c>
      <c r="E16" s="146"/>
      <c r="F16" s="186"/>
      <c r="G16" s="199"/>
      <c r="H16" s="199"/>
      <c r="K16" s="177" t="s">
        <v>149</v>
      </c>
      <c r="L16" s="199"/>
      <c r="M16" s="186"/>
      <c r="N16" s="199"/>
      <c r="Q16" s="240">
        <f t="shared" ref="Q16:Q45" si="27">Q15*2</f>
        <v>3.9999999999999998E-7</v>
      </c>
      <c r="R16" s="199">
        <f t="shared" si="2"/>
        <v>0.4</v>
      </c>
      <c r="S16" s="241">
        <f t="shared" si="3"/>
        <v>9.9999999999999992E-2</v>
      </c>
      <c r="T16" s="242">
        <f t="shared" si="4"/>
        <v>-1.1399999999999999</v>
      </c>
      <c r="U16" s="241">
        <f t="shared" si="5"/>
        <v>0.04</v>
      </c>
      <c r="V16" s="243">
        <f t="shared" si="10"/>
        <v>3.5196384692581795E-2</v>
      </c>
      <c r="X16" s="244">
        <f t="shared" si="11"/>
        <v>2.5000000000000002E-6</v>
      </c>
      <c r="Y16" s="245">
        <v>0.5</v>
      </c>
      <c r="Z16" s="146">
        <f t="shared" si="12"/>
        <v>0.5</v>
      </c>
      <c r="AA16" s="186">
        <f t="shared" si="13"/>
        <v>-1.75</v>
      </c>
      <c r="AB16" s="146">
        <f t="shared" si="14"/>
        <v>0.25</v>
      </c>
      <c r="AC16" s="186">
        <f t="shared" si="15"/>
        <v>0.14921894064178787</v>
      </c>
      <c r="AD16" s="246">
        <f t="shared" si="16"/>
        <v>7.4609470320893941E-7</v>
      </c>
      <c r="AE16" s="244">
        <f t="shared" si="17"/>
        <v>2.5000000000000002E-6</v>
      </c>
      <c r="AF16" s="186">
        <f t="shared" si="18"/>
        <v>0.5</v>
      </c>
      <c r="AG16" s="146">
        <f t="shared" si="19"/>
        <v>5</v>
      </c>
      <c r="AH16" s="186">
        <f t="shared" si="20"/>
        <v>-8.5</v>
      </c>
      <c r="AI16" s="146">
        <f t="shared" si="21"/>
        <v>2.5</v>
      </c>
      <c r="AJ16" s="186">
        <f t="shared" si="22"/>
        <v>0.37830094339716985</v>
      </c>
      <c r="AK16" s="246">
        <f t="shared" si="23"/>
        <v>1.8915047169858493E-6</v>
      </c>
      <c r="AL16" s="244">
        <f t="shared" si="24"/>
        <v>2.5000000000000002E-6</v>
      </c>
      <c r="AM16" s="186">
        <f t="shared" si="6"/>
        <v>0.5</v>
      </c>
      <c r="AN16" s="146">
        <f t="shared" si="7"/>
        <v>50.000000000000007</v>
      </c>
      <c r="AO16" s="186">
        <f t="shared" si="25"/>
        <v>-76.000000000000014</v>
      </c>
      <c r="AP16" s="146">
        <f t="shared" si="8"/>
        <v>25.000000000000004</v>
      </c>
      <c r="AQ16" s="186">
        <f t="shared" si="9"/>
        <v>0.48143223445631766</v>
      </c>
      <c r="AR16" s="246">
        <f t="shared" si="26"/>
        <v>2.4071611722815887E-6</v>
      </c>
    </row>
    <row r="17" spans="1:44" x14ac:dyDescent="0.25">
      <c r="A17" s="230">
        <f t="shared" si="1"/>
        <v>0.32600000000000007</v>
      </c>
      <c r="B17" s="231">
        <f t="shared" si="0"/>
        <v>143525.08166841307</v>
      </c>
      <c r="K17" s="61" t="s">
        <v>150</v>
      </c>
      <c r="L17" s="199"/>
      <c r="M17" s="199"/>
      <c r="N17" s="199"/>
      <c r="Q17" s="240">
        <f t="shared" si="27"/>
        <v>7.9999999999999996E-7</v>
      </c>
      <c r="R17" s="199">
        <f t="shared" si="2"/>
        <v>0.8</v>
      </c>
      <c r="S17" s="241">
        <f t="shared" si="3"/>
        <v>9.9999999999999992E-2</v>
      </c>
      <c r="T17" s="242">
        <f t="shared" si="4"/>
        <v>-1.18</v>
      </c>
      <c r="U17" s="241">
        <f t="shared" si="5"/>
        <v>0.08</v>
      </c>
      <c r="V17" s="243">
        <f t="shared" si="10"/>
        <v>6.8190675270667356E-2</v>
      </c>
      <c r="X17" s="244">
        <f t="shared" si="11"/>
        <v>3.7500000000000005E-6</v>
      </c>
      <c r="Y17" s="245">
        <v>0.75</v>
      </c>
      <c r="Z17" s="146">
        <f t="shared" si="12"/>
        <v>0.5</v>
      </c>
      <c r="AA17" s="186">
        <f t="shared" si="13"/>
        <v>-1.875</v>
      </c>
      <c r="AB17" s="146">
        <f t="shared" si="14"/>
        <v>0.375</v>
      </c>
      <c r="AC17" s="186">
        <f t="shared" si="15"/>
        <v>0.21198316304374121</v>
      </c>
      <c r="AD17" s="246">
        <f t="shared" si="16"/>
        <v>1.0599158152187061E-6</v>
      </c>
      <c r="AE17" s="244">
        <f t="shared" si="17"/>
        <v>3.7500000000000005E-6</v>
      </c>
      <c r="AF17" s="186">
        <f t="shared" si="18"/>
        <v>0.75</v>
      </c>
      <c r="AG17" s="146">
        <f t="shared" si="19"/>
        <v>5</v>
      </c>
      <c r="AH17" s="186">
        <f t="shared" si="20"/>
        <v>-9.75</v>
      </c>
      <c r="AI17" s="146">
        <f t="shared" si="21"/>
        <v>3.75</v>
      </c>
      <c r="AJ17" s="186">
        <f t="shared" si="22"/>
        <v>0.52708817832077703</v>
      </c>
      <c r="AK17" s="246">
        <f t="shared" si="23"/>
        <v>2.6354408916038854E-6</v>
      </c>
      <c r="AL17" s="244">
        <f t="shared" si="24"/>
        <v>3.7500000000000005E-6</v>
      </c>
      <c r="AM17" s="186">
        <f t="shared" si="6"/>
        <v>0.75</v>
      </c>
      <c r="AN17" s="146">
        <f t="shared" si="7"/>
        <v>50.000000000000007</v>
      </c>
      <c r="AO17" s="186">
        <f t="shared" si="25"/>
        <v>-88.500000000000014</v>
      </c>
      <c r="AP17" s="146">
        <f t="shared" si="8"/>
        <v>37.500000000000007</v>
      </c>
      <c r="AQ17" s="186">
        <f t="shared" si="9"/>
        <v>0.70272273866441815</v>
      </c>
      <c r="AR17" s="246">
        <f t="shared" si="26"/>
        <v>3.5136136933220912E-6</v>
      </c>
    </row>
    <row r="18" spans="1:44" x14ac:dyDescent="0.25">
      <c r="A18" s="230">
        <f t="shared" si="1"/>
        <v>0.35100000000000009</v>
      </c>
      <c r="B18" s="231">
        <f t="shared" si="0"/>
        <v>166666.27097276604</v>
      </c>
      <c r="E18" s="3"/>
      <c r="F18"/>
      <c r="Q18" s="240">
        <f t="shared" si="27"/>
        <v>1.5999999999999999E-6</v>
      </c>
      <c r="R18" s="199">
        <f t="shared" si="2"/>
        <v>1.6</v>
      </c>
      <c r="S18" s="241">
        <f t="shared" si="3"/>
        <v>9.9999999999999992E-2</v>
      </c>
      <c r="T18" s="242">
        <f t="shared" si="4"/>
        <v>-1.26</v>
      </c>
      <c r="U18" s="241">
        <f t="shared" si="5"/>
        <v>0.16</v>
      </c>
      <c r="V18" s="243">
        <f t="shared" si="10"/>
        <v>0.12829035031621028</v>
      </c>
      <c r="X18" s="244">
        <f t="shared" si="11"/>
        <v>5.0000000000000004E-6</v>
      </c>
      <c r="Y18" s="245">
        <v>1</v>
      </c>
      <c r="Z18" s="146">
        <f t="shared" si="12"/>
        <v>0.5</v>
      </c>
      <c r="AA18" s="186">
        <f t="shared" si="13"/>
        <v>-2</v>
      </c>
      <c r="AB18" s="146">
        <f t="shared" si="14"/>
        <v>0.5</v>
      </c>
      <c r="AC18" s="186">
        <f t="shared" si="15"/>
        <v>0.26794919243112281</v>
      </c>
      <c r="AD18" s="246">
        <f t="shared" si="16"/>
        <v>1.3397459621556141E-6</v>
      </c>
      <c r="AE18" s="244">
        <f t="shared" si="17"/>
        <v>5.0000000000000004E-6</v>
      </c>
      <c r="AF18" s="186">
        <f t="shared" si="18"/>
        <v>1</v>
      </c>
      <c r="AG18" s="146">
        <f t="shared" si="19"/>
        <v>5</v>
      </c>
      <c r="AH18" s="186">
        <f t="shared" si="20"/>
        <v>-11</v>
      </c>
      <c r="AI18" s="146">
        <f t="shared" si="21"/>
        <v>5</v>
      </c>
      <c r="AJ18" s="186">
        <f t="shared" si="22"/>
        <v>0.64174243050441604</v>
      </c>
      <c r="AK18" s="246">
        <f t="shared" si="23"/>
        <v>3.2087121525220805E-6</v>
      </c>
      <c r="AL18" s="244">
        <f t="shared" si="24"/>
        <v>5.0000000000000004E-6</v>
      </c>
      <c r="AM18" s="186">
        <f t="shared" si="6"/>
        <v>1</v>
      </c>
      <c r="AN18" s="146">
        <f t="shared" si="7"/>
        <v>50.000000000000007</v>
      </c>
      <c r="AO18" s="186">
        <f t="shared" si="25"/>
        <v>-101.00000000000001</v>
      </c>
      <c r="AP18" s="146">
        <f t="shared" si="8"/>
        <v>50.000000000000007</v>
      </c>
      <c r="AQ18" s="186">
        <f t="shared" si="9"/>
        <v>0.86822553121242185</v>
      </c>
      <c r="AR18" s="246">
        <f t="shared" si="26"/>
        <v>4.3411276560621097E-6</v>
      </c>
    </row>
    <row r="19" spans="1:44" x14ac:dyDescent="0.25">
      <c r="A19" s="230">
        <f t="shared" si="1"/>
        <v>0.37600000000000011</v>
      </c>
      <c r="B19" s="231">
        <f t="shared" si="0"/>
        <v>193129.5200525971</v>
      </c>
      <c r="E19" s="3"/>
      <c r="F19"/>
      <c r="G19" s="3"/>
      <c r="Q19" s="240">
        <f t="shared" si="27"/>
        <v>3.1999999999999999E-6</v>
      </c>
      <c r="R19" s="199">
        <f t="shared" si="2"/>
        <v>3.2</v>
      </c>
      <c r="S19" s="241">
        <f t="shared" si="3"/>
        <v>9.9999999999999992E-2</v>
      </c>
      <c r="T19" s="242">
        <f t="shared" si="4"/>
        <v>-1.42</v>
      </c>
      <c r="U19" s="241">
        <f t="shared" si="5"/>
        <v>0.32</v>
      </c>
      <c r="V19" s="243">
        <f t="shared" si="10"/>
        <v>0.22904664547924616</v>
      </c>
      <c r="X19" s="244">
        <f t="shared" si="11"/>
        <v>1.2500000000000001E-5</v>
      </c>
      <c r="Y19" s="245">
        <v>2.5</v>
      </c>
      <c r="Z19" s="146">
        <f t="shared" si="12"/>
        <v>0.5</v>
      </c>
      <c r="AA19" s="186">
        <f t="shared" si="13"/>
        <v>-2.75</v>
      </c>
      <c r="AB19" s="146">
        <f t="shared" si="14"/>
        <v>1.25</v>
      </c>
      <c r="AC19" s="186">
        <f t="shared" si="15"/>
        <v>0.5</v>
      </c>
      <c r="AD19" s="246">
        <f t="shared" si="16"/>
        <v>2.5000000000000002E-6</v>
      </c>
      <c r="AE19" s="244">
        <f t="shared" si="17"/>
        <v>1.2500000000000001E-5</v>
      </c>
      <c r="AF19" s="186">
        <f t="shared" si="18"/>
        <v>2.5</v>
      </c>
      <c r="AG19" s="146">
        <f t="shared" si="19"/>
        <v>5</v>
      </c>
      <c r="AH19" s="186">
        <f t="shared" si="20"/>
        <v>-18.5</v>
      </c>
      <c r="AI19" s="146">
        <f t="shared" si="21"/>
        <v>12.5</v>
      </c>
      <c r="AJ19" s="186">
        <f t="shared" si="22"/>
        <v>0.88953136438507274</v>
      </c>
      <c r="AK19" s="246">
        <f t="shared" si="23"/>
        <v>4.4476568219253638E-6</v>
      </c>
      <c r="AL19" s="244">
        <f t="shared" si="24"/>
        <v>1.2500000000000001E-5</v>
      </c>
      <c r="AM19" s="186">
        <f t="shared" si="6"/>
        <v>2.5</v>
      </c>
      <c r="AN19" s="146">
        <f t="shared" si="7"/>
        <v>50.000000000000007</v>
      </c>
      <c r="AO19" s="186">
        <f t="shared" si="25"/>
        <v>-176.00000000000003</v>
      </c>
      <c r="AP19" s="146">
        <f t="shared" si="8"/>
        <v>125.00000000000001</v>
      </c>
      <c r="AQ19" s="186">
        <f t="shared" si="9"/>
        <v>0.98695407639649235</v>
      </c>
      <c r="AR19" s="246">
        <f t="shared" si="26"/>
        <v>4.9347703819824623E-6</v>
      </c>
    </row>
    <row r="20" spans="1:44" x14ac:dyDescent="0.25">
      <c r="A20" s="230">
        <f t="shared" si="1"/>
        <v>0.40100000000000013</v>
      </c>
      <c r="B20" s="231">
        <f t="shared" si="0"/>
        <v>223522.23098597844</v>
      </c>
      <c r="Q20" s="240">
        <f t="shared" si="27"/>
        <v>6.3999999999999997E-6</v>
      </c>
      <c r="R20" s="199">
        <f t="shared" si="2"/>
        <v>6.4</v>
      </c>
      <c r="S20" s="241">
        <f t="shared" si="3"/>
        <v>9.9999999999999992E-2</v>
      </c>
      <c r="T20" s="242">
        <f t="shared" si="4"/>
        <v>-1.74</v>
      </c>
      <c r="U20" s="241">
        <f t="shared" si="5"/>
        <v>0.64</v>
      </c>
      <c r="V20" s="243">
        <f t="shared" si="10"/>
        <v>0.37593849133729657</v>
      </c>
      <c r="X20" s="244">
        <f t="shared" si="11"/>
        <v>2.5000000000000001E-5</v>
      </c>
      <c r="Y20" s="245">
        <v>5</v>
      </c>
      <c r="Z20" s="146">
        <f t="shared" si="12"/>
        <v>0.5</v>
      </c>
      <c r="AA20" s="186">
        <f t="shared" si="13"/>
        <v>-4</v>
      </c>
      <c r="AB20" s="146">
        <f t="shared" si="14"/>
        <v>2.5</v>
      </c>
      <c r="AC20" s="186">
        <f t="shared" si="15"/>
        <v>0.68337520964460019</v>
      </c>
      <c r="AD20" s="246">
        <f t="shared" si="16"/>
        <v>3.4168760482230011E-6</v>
      </c>
      <c r="AE20" s="244">
        <f t="shared" si="17"/>
        <v>2.5000000000000001E-5</v>
      </c>
      <c r="AF20" s="186">
        <f t="shared" si="18"/>
        <v>5</v>
      </c>
      <c r="AG20" s="146">
        <f t="shared" si="19"/>
        <v>5</v>
      </c>
      <c r="AH20" s="186">
        <f t="shared" si="20"/>
        <v>-31</v>
      </c>
      <c r="AI20" s="146">
        <f t="shared" si="21"/>
        <v>25</v>
      </c>
      <c r="AJ20" s="186">
        <f t="shared" si="22"/>
        <v>0.95290894464161124</v>
      </c>
      <c r="AK20" s="246">
        <f t="shared" si="23"/>
        <v>4.7645447232080563E-6</v>
      </c>
      <c r="AL20" s="244">
        <f t="shared" si="24"/>
        <v>2.5000000000000001E-5</v>
      </c>
      <c r="AM20" s="186">
        <f t="shared" si="6"/>
        <v>5</v>
      </c>
      <c r="AN20" s="146">
        <f t="shared" si="7"/>
        <v>50.000000000000007</v>
      </c>
      <c r="AO20" s="186">
        <f t="shared" si="25"/>
        <v>-301.00000000000006</v>
      </c>
      <c r="AP20" s="146">
        <f t="shared" si="8"/>
        <v>250.00000000000003</v>
      </c>
      <c r="AQ20" s="186">
        <f t="shared" si="9"/>
        <v>0.99503101760845947</v>
      </c>
      <c r="AR20" s="246">
        <f t="shared" si="26"/>
        <v>4.9751550880422974E-6</v>
      </c>
    </row>
    <row r="21" spans="1:44" x14ac:dyDescent="0.25">
      <c r="A21" s="230">
        <f t="shared" si="1"/>
        <v>0.42600000000000016</v>
      </c>
      <c r="B21" s="231">
        <f t="shared" si="0"/>
        <v>258592.43161869168</v>
      </c>
      <c r="Q21" s="240">
        <f t="shared" si="27"/>
        <v>1.2799999999999999E-5</v>
      </c>
      <c r="R21" s="199">
        <f t="shared" si="2"/>
        <v>12.8</v>
      </c>
      <c r="S21" s="241">
        <f t="shared" si="3"/>
        <v>9.9999999999999992E-2</v>
      </c>
      <c r="T21" s="242">
        <f t="shared" si="4"/>
        <v>-2.38</v>
      </c>
      <c r="U21" s="241">
        <f t="shared" si="5"/>
        <v>1.28</v>
      </c>
      <c r="V21" s="243">
        <f t="shared" si="10"/>
        <v>0.55055067415163084</v>
      </c>
      <c r="X21" s="244">
        <f t="shared" si="11"/>
        <v>5.0000000000000002E-5</v>
      </c>
      <c r="Y21" s="245">
        <v>10</v>
      </c>
      <c r="Z21" s="146">
        <f t="shared" si="12"/>
        <v>0.5</v>
      </c>
      <c r="AA21" s="186">
        <f t="shared" si="13"/>
        <v>-6.5</v>
      </c>
      <c r="AB21" s="146">
        <f t="shared" si="14"/>
        <v>5</v>
      </c>
      <c r="AC21" s="186">
        <f t="shared" si="15"/>
        <v>0.82109165419972641</v>
      </c>
      <c r="AD21" s="246">
        <f t="shared" si="16"/>
        <v>4.1054582709986327E-6</v>
      </c>
      <c r="AE21" s="244">
        <f t="shared" si="17"/>
        <v>5.0000000000000002E-5</v>
      </c>
      <c r="AF21" s="186">
        <f t="shared" si="18"/>
        <v>10</v>
      </c>
      <c r="AG21" s="146">
        <f t="shared" si="19"/>
        <v>5</v>
      </c>
      <c r="AH21" s="186">
        <f t="shared" si="20"/>
        <v>-56</v>
      </c>
      <c r="AI21" s="146">
        <f t="shared" si="21"/>
        <v>50</v>
      </c>
      <c r="AJ21" s="186">
        <f t="shared" si="22"/>
        <v>0.97831199668346258</v>
      </c>
      <c r="AK21" s="246">
        <f t="shared" si="23"/>
        <v>4.8915599834173129E-6</v>
      </c>
      <c r="AL21" s="244">
        <f t="shared" si="24"/>
        <v>5.0000000000000002E-5</v>
      </c>
      <c r="AM21" s="186">
        <f t="shared" si="6"/>
        <v>10</v>
      </c>
      <c r="AN21" s="146">
        <f t="shared" si="7"/>
        <v>50.000000000000007</v>
      </c>
      <c r="AO21" s="186">
        <f t="shared" si="25"/>
        <v>-551.00000000000011</v>
      </c>
      <c r="AP21" s="146">
        <f t="shared" si="8"/>
        <v>500.00000000000006</v>
      </c>
      <c r="AQ21" s="186">
        <f t="shared" si="9"/>
        <v>0.99778324988703604</v>
      </c>
      <c r="AR21" s="246">
        <f t="shared" si="26"/>
        <v>4.9889162494351807E-6</v>
      </c>
    </row>
    <row r="22" spans="1:44" x14ac:dyDescent="0.25">
      <c r="A22" s="230">
        <f t="shared" si="1"/>
        <v>0.45100000000000018</v>
      </c>
      <c r="B22" s="231">
        <f t="shared" si="0"/>
        <v>299269.08006277384</v>
      </c>
      <c r="Q22" s="240">
        <f t="shared" si="27"/>
        <v>2.5599999999999999E-5</v>
      </c>
      <c r="R22" s="199">
        <f t="shared" si="2"/>
        <v>25.6</v>
      </c>
      <c r="S22" s="241">
        <f t="shared" si="3"/>
        <v>9.9999999999999992E-2</v>
      </c>
      <c r="T22" s="242">
        <f t="shared" si="4"/>
        <v>-3.66</v>
      </c>
      <c r="U22" s="241">
        <f t="shared" si="5"/>
        <v>2.56</v>
      </c>
      <c r="V22" s="243">
        <f t="shared" si="10"/>
        <v>0.71335734143665575</v>
      </c>
      <c r="X22" s="244">
        <f t="shared" si="11"/>
        <v>2.5000000000000001E-4</v>
      </c>
      <c r="Y22" s="245">
        <v>50</v>
      </c>
      <c r="Z22" s="146">
        <f t="shared" si="12"/>
        <v>0.5</v>
      </c>
      <c r="AA22" s="186">
        <f t="shared" si="13"/>
        <v>-26.5</v>
      </c>
      <c r="AB22" s="146">
        <f t="shared" si="14"/>
        <v>25</v>
      </c>
      <c r="AC22" s="186">
        <f t="shared" si="15"/>
        <v>0.96081442175573173</v>
      </c>
      <c r="AD22" s="246">
        <f t="shared" si="16"/>
        <v>4.8040721087786591E-6</v>
      </c>
      <c r="AE22" s="244">
        <f t="shared" si="17"/>
        <v>2.5000000000000001E-4</v>
      </c>
      <c r="AF22" s="186">
        <f t="shared" si="18"/>
        <v>50</v>
      </c>
      <c r="AG22" s="146">
        <f t="shared" si="19"/>
        <v>5</v>
      </c>
      <c r="AH22" s="186">
        <f t="shared" si="20"/>
        <v>-256</v>
      </c>
      <c r="AI22" s="146">
        <f t="shared" si="21"/>
        <v>250</v>
      </c>
      <c r="AJ22" s="186">
        <f t="shared" si="22"/>
        <v>0.99593529515905455</v>
      </c>
      <c r="AK22" s="246">
        <f t="shared" si="23"/>
        <v>4.9796764757952727E-6</v>
      </c>
      <c r="AL22" s="244">
        <f t="shared" si="24"/>
        <v>2.5000000000000001E-4</v>
      </c>
      <c r="AM22" s="186">
        <f t="shared" si="6"/>
        <v>50</v>
      </c>
      <c r="AN22" s="146">
        <f t="shared" si="7"/>
        <v>50.000000000000007</v>
      </c>
      <c r="AO22" s="186">
        <f t="shared" si="25"/>
        <v>-2551.0000000000005</v>
      </c>
      <c r="AP22" s="146">
        <f t="shared" si="8"/>
        <v>2500.0000000000005</v>
      </c>
      <c r="AQ22" s="186">
        <f t="shared" si="9"/>
        <v>0.99959200665969983</v>
      </c>
      <c r="AR22" s="246">
        <f t="shared" si="26"/>
        <v>4.9979600332984999E-6</v>
      </c>
    </row>
    <row r="23" spans="1:44" ht="15.75" thickBot="1" x14ac:dyDescent="0.3">
      <c r="A23" s="230">
        <f t="shared" si="1"/>
        <v>0.4760000000000002</v>
      </c>
      <c r="B23" s="231">
        <f t="shared" si="0"/>
        <v>346716.39181865897</v>
      </c>
      <c r="Q23" s="240">
        <f t="shared" si="27"/>
        <v>5.1199999999999998E-5</v>
      </c>
      <c r="R23" s="199">
        <f t="shared" si="2"/>
        <v>51.2</v>
      </c>
      <c r="S23" s="241">
        <f t="shared" si="3"/>
        <v>9.9999999999999992E-2</v>
      </c>
      <c r="T23" s="242">
        <f t="shared" si="4"/>
        <v>-6.22</v>
      </c>
      <c r="U23" s="241">
        <f t="shared" si="5"/>
        <v>5.12</v>
      </c>
      <c r="V23" s="243">
        <f t="shared" si="10"/>
        <v>0.83434289495766045</v>
      </c>
      <c r="X23" s="247">
        <f t="shared" si="11"/>
        <v>1E-3</v>
      </c>
      <c r="Y23" s="248">
        <v>200</v>
      </c>
      <c r="Z23" s="249">
        <f t="shared" si="12"/>
        <v>0.5</v>
      </c>
      <c r="AA23" s="250">
        <f t="shared" si="13"/>
        <v>-101.5</v>
      </c>
      <c r="AB23" s="249">
        <f t="shared" si="14"/>
        <v>100</v>
      </c>
      <c r="AC23" s="250">
        <f t="shared" si="15"/>
        <v>0.99005024376940298</v>
      </c>
      <c r="AD23" s="251">
        <f t="shared" si="16"/>
        <v>4.9502512188470157E-6</v>
      </c>
      <c r="AE23" s="247">
        <f t="shared" si="17"/>
        <v>1E-3</v>
      </c>
      <c r="AF23" s="250">
        <f t="shared" si="18"/>
        <v>200</v>
      </c>
      <c r="AG23" s="249">
        <f t="shared" si="19"/>
        <v>5</v>
      </c>
      <c r="AH23" s="250">
        <f t="shared" si="20"/>
        <v>-1006</v>
      </c>
      <c r="AI23" s="249">
        <f t="shared" si="21"/>
        <v>1000</v>
      </c>
      <c r="AJ23" s="250">
        <f t="shared" si="22"/>
        <v>0.99899598899617104</v>
      </c>
      <c r="AK23" s="251">
        <f t="shared" si="23"/>
        <v>4.9949799449808554E-6</v>
      </c>
      <c r="AL23" s="247">
        <f t="shared" si="24"/>
        <v>1E-3</v>
      </c>
      <c r="AM23" s="250">
        <f t="shared" si="6"/>
        <v>200</v>
      </c>
      <c r="AN23" s="249">
        <f t="shared" si="7"/>
        <v>50.000000000000007</v>
      </c>
      <c r="AO23" s="250">
        <f t="shared" si="25"/>
        <v>-10051.000000000002</v>
      </c>
      <c r="AP23" s="249">
        <f t="shared" si="8"/>
        <v>10000.000000000002</v>
      </c>
      <c r="AQ23" s="250">
        <f t="shared" si="9"/>
        <v>0.99989950763792868</v>
      </c>
      <c r="AR23" s="251">
        <f t="shared" si="26"/>
        <v>4.9994975381896434E-6</v>
      </c>
    </row>
    <row r="24" spans="1:44" x14ac:dyDescent="0.25">
      <c r="A24" s="230">
        <f t="shared" si="1"/>
        <v>0.50100000000000022</v>
      </c>
      <c r="B24" s="231">
        <f t="shared" si="0"/>
        <v>402408.02245774161</v>
      </c>
      <c r="D24" t="s">
        <v>151</v>
      </c>
      <c r="Q24" s="240">
        <f t="shared" si="27"/>
        <v>1.024E-4</v>
      </c>
      <c r="R24" s="199">
        <f t="shared" si="2"/>
        <v>102.4</v>
      </c>
      <c r="S24" s="241">
        <f t="shared" si="3"/>
        <v>9.9999999999999992E-2</v>
      </c>
      <c r="T24" s="242">
        <f t="shared" si="4"/>
        <v>-11.34</v>
      </c>
      <c r="U24" s="241">
        <f t="shared" si="5"/>
        <v>10.24</v>
      </c>
      <c r="V24" s="243">
        <f t="shared" si="10"/>
        <v>0.91030561116148168</v>
      </c>
      <c r="X24" s="3"/>
      <c r="AE24" s="3"/>
      <c r="AL24" s="3"/>
    </row>
    <row r="25" spans="1:44" x14ac:dyDescent="0.25">
      <c r="A25" s="230">
        <f t="shared" si="1"/>
        <v>0.52600000000000025</v>
      </c>
      <c r="B25" s="231">
        <f t="shared" si="0"/>
        <v>468229.80647688295</v>
      </c>
      <c r="Q25" s="240">
        <f t="shared" si="27"/>
        <v>2.0479999999999999E-4</v>
      </c>
      <c r="R25" s="199">
        <f t="shared" si="2"/>
        <v>204.8</v>
      </c>
      <c r="S25" s="241">
        <f t="shared" si="3"/>
        <v>9.9999999999999992E-2</v>
      </c>
      <c r="T25" s="242">
        <f t="shared" si="4"/>
        <v>-21.580000000000002</v>
      </c>
      <c r="U25" s="241">
        <f t="shared" si="5"/>
        <v>20.48</v>
      </c>
      <c r="V25" s="243">
        <f t="shared" si="10"/>
        <v>0.95323754315888476</v>
      </c>
      <c r="X25" s="3"/>
      <c r="AE25" s="3"/>
      <c r="AM25" s="3"/>
    </row>
    <row r="26" spans="1:44" x14ac:dyDescent="0.25">
      <c r="A26" s="230">
        <f t="shared" si="1"/>
        <v>0.55100000000000027</v>
      </c>
      <c r="B26" s="231">
        <f t="shared" si="0"/>
        <v>546624.27269706095</v>
      </c>
      <c r="Q26" s="240">
        <f t="shared" si="27"/>
        <v>4.0959999999999998E-4</v>
      </c>
      <c r="R26" s="199">
        <f t="shared" si="2"/>
        <v>409.6</v>
      </c>
      <c r="S26" s="241">
        <f t="shared" si="3"/>
        <v>9.9999999999999992E-2</v>
      </c>
      <c r="T26" s="242">
        <f t="shared" si="4"/>
        <v>-42.06</v>
      </c>
      <c r="U26" s="241">
        <f t="shared" si="5"/>
        <v>40.96</v>
      </c>
      <c r="V26" s="243">
        <f t="shared" si="10"/>
        <v>0.97611220885468708</v>
      </c>
      <c r="X26" s="3"/>
    </row>
    <row r="27" spans="1:44" x14ac:dyDescent="0.25">
      <c r="A27" s="230">
        <f t="shared" si="1"/>
        <v>0.57600000000000029</v>
      </c>
      <c r="B27" s="231">
        <f t="shared" si="0"/>
        <v>640797.43681025389</v>
      </c>
      <c r="Q27" s="240">
        <f t="shared" si="27"/>
        <v>8.1919999999999996E-4</v>
      </c>
      <c r="R27" s="199">
        <f t="shared" si="2"/>
        <v>819.2</v>
      </c>
      <c r="S27" s="241">
        <f t="shared" si="3"/>
        <v>9.9999999999999992E-2</v>
      </c>
      <c r="T27" s="242">
        <f t="shared" si="4"/>
        <v>-83.02</v>
      </c>
      <c r="U27" s="241">
        <f t="shared" si="5"/>
        <v>81.92</v>
      </c>
      <c r="V27" s="243">
        <f t="shared" si="10"/>
        <v>0.98792579785843782</v>
      </c>
      <c r="X27" s="3"/>
    </row>
    <row r="28" spans="1:44" x14ac:dyDescent="0.25">
      <c r="A28" s="230">
        <f t="shared" si="1"/>
        <v>0.60100000000000031</v>
      </c>
      <c r="B28" s="231">
        <f t="shared" si="0"/>
        <v>755020.38303779648</v>
      </c>
      <c r="Q28" s="240">
        <f t="shared" si="27"/>
        <v>1.6383999999999999E-3</v>
      </c>
      <c r="R28" s="199">
        <f t="shared" si="2"/>
        <v>1638.4</v>
      </c>
      <c r="S28" s="241">
        <f t="shared" si="3"/>
        <v>9.9999999999999992E-2</v>
      </c>
      <c r="T28" s="242">
        <f t="shared" si="4"/>
        <v>-164.94</v>
      </c>
      <c r="U28" s="241">
        <f t="shared" si="5"/>
        <v>163.84</v>
      </c>
      <c r="V28" s="243">
        <f t="shared" si="10"/>
        <v>0.99392985118768717</v>
      </c>
      <c r="X28" s="3"/>
    </row>
    <row r="29" spans="1:44" x14ac:dyDescent="0.25">
      <c r="A29" s="230">
        <f t="shared" si="1"/>
        <v>0.62600000000000033</v>
      </c>
      <c r="B29" s="231">
        <f t="shared" si="0"/>
        <v>895078.49809831765</v>
      </c>
      <c r="Q29" s="240">
        <f t="shared" si="27"/>
        <v>3.2767999999999999E-3</v>
      </c>
      <c r="R29" s="199">
        <f t="shared" si="2"/>
        <v>3276.8</v>
      </c>
      <c r="S29" s="241">
        <f t="shared" si="3"/>
        <v>9.9999999999999992E-2</v>
      </c>
      <c r="T29" s="242">
        <f t="shared" si="4"/>
        <v>-328.78000000000003</v>
      </c>
      <c r="U29" s="241">
        <f t="shared" si="5"/>
        <v>327.68</v>
      </c>
      <c r="V29" s="243">
        <f t="shared" si="10"/>
        <v>0.9969566039509915</v>
      </c>
      <c r="X29" s="3"/>
    </row>
    <row r="30" spans="1:44" x14ac:dyDescent="0.25">
      <c r="A30" s="230">
        <f t="shared" si="1"/>
        <v>0.65100000000000036</v>
      </c>
      <c r="B30" s="231">
        <f t="shared" si="0"/>
        <v>1068956.7409134598</v>
      </c>
      <c r="Q30" s="240">
        <f t="shared" si="27"/>
        <v>6.5535999999999997E-3</v>
      </c>
      <c r="R30" s="199">
        <f t="shared" si="2"/>
        <v>6553.6</v>
      </c>
      <c r="S30" s="241">
        <f t="shared" si="3"/>
        <v>9.9999999999999992E-2</v>
      </c>
      <c r="T30" s="242">
        <f t="shared" si="4"/>
        <v>-656.46</v>
      </c>
      <c r="U30" s="241">
        <f t="shared" si="5"/>
        <v>655.36</v>
      </c>
      <c r="V30" s="243">
        <f t="shared" si="10"/>
        <v>0.99847621404933318</v>
      </c>
      <c r="X30" s="3"/>
    </row>
    <row r="31" spans="1:44" x14ac:dyDescent="0.25">
      <c r="A31" s="230">
        <f t="shared" si="1"/>
        <v>0.67600000000000038</v>
      </c>
      <c r="B31" s="231">
        <f t="shared" si="0"/>
        <v>1287913.4278311271</v>
      </c>
      <c r="Q31" s="240">
        <f t="shared" si="27"/>
        <v>1.3107199999999999E-2</v>
      </c>
      <c r="R31" s="199">
        <f t="shared" si="2"/>
        <v>13107.2</v>
      </c>
      <c r="S31" s="241">
        <f t="shared" si="3"/>
        <v>9.9999999999999992E-2</v>
      </c>
      <c r="T31" s="242">
        <f t="shared" si="4"/>
        <v>-1311.82</v>
      </c>
      <c r="U31" s="241">
        <f t="shared" si="5"/>
        <v>1310.72</v>
      </c>
      <c r="V31" s="243">
        <f t="shared" si="10"/>
        <v>0.9992375841000013</v>
      </c>
      <c r="X31" s="3"/>
    </row>
    <row r="32" spans="1:44" x14ac:dyDescent="0.25">
      <c r="A32" s="230">
        <f t="shared" si="1"/>
        <v>0.7010000000000004</v>
      </c>
      <c r="B32" s="231">
        <f t="shared" si="0"/>
        <v>1568215.1206362396</v>
      </c>
      <c r="Q32" s="240">
        <f t="shared" si="27"/>
        <v>2.6214399999999999E-2</v>
      </c>
      <c r="R32" s="199">
        <f t="shared" si="2"/>
        <v>26214.400000000001</v>
      </c>
      <c r="S32" s="241">
        <f t="shared" si="3"/>
        <v>9.9999999999999992E-2</v>
      </c>
      <c r="T32" s="242">
        <f t="shared" si="4"/>
        <v>-2622.54</v>
      </c>
      <c r="U32" s="241">
        <f t="shared" si="5"/>
        <v>2621.44</v>
      </c>
      <c r="V32" s="243">
        <f t="shared" si="10"/>
        <v>0.99961866120111165</v>
      </c>
      <c r="X32" s="3"/>
    </row>
    <row r="33" spans="1:24" x14ac:dyDescent="0.25">
      <c r="A33" s="230">
        <f t="shared" si="1"/>
        <v>0.72600000000000042</v>
      </c>
      <c r="B33" s="231">
        <f t="shared" si="0"/>
        <v>1934040.1726250802</v>
      </c>
      <c r="Q33" s="240">
        <f t="shared" si="27"/>
        <v>5.2428799999999998E-2</v>
      </c>
      <c r="R33" s="199">
        <f t="shared" si="2"/>
        <v>52428.800000000003</v>
      </c>
      <c r="S33" s="241">
        <f t="shared" si="3"/>
        <v>9.9999999999999992E-2</v>
      </c>
      <c r="T33" s="242">
        <f t="shared" si="4"/>
        <v>-5243.9800000000005</v>
      </c>
      <c r="U33" s="241">
        <f t="shared" si="5"/>
        <v>5242.88</v>
      </c>
      <c r="V33" s="243">
        <f t="shared" si="10"/>
        <v>0.99980929787307116</v>
      </c>
      <c r="X33" s="3"/>
    </row>
    <row r="34" spans="1:24" x14ac:dyDescent="0.25">
      <c r="A34" s="230">
        <f t="shared" si="1"/>
        <v>0.75100000000000044</v>
      </c>
      <c r="B34" s="231">
        <f t="shared" si="0"/>
        <v>2422541.5719101406</v>
      </c>
      <c r="Q34" s="240">
        <f t="shared" si="27"/>
        <v>0.1048576</v>
      </c>
      <c r="R34" s="199">
        <f t="shared" si="2"/>
        <v>104857.60000000001</v>
      </c>
      <c r="S34" s="241">
        <f t="shared" si="3"/>
        <v>9.9999999999999992E-2</v>
      </c>
      <c r="T34" s="242">
        <f t="shared" si="4"/>
        <v>-10486.86</v>
      </c>
      <c r="U34" s="241">
        <f t="shared" si="5"/>
        <v>10485.76</v>
      </c>
      <c r="V34" s="243">
        <f t="shared" si="10"/>
        <v>0.99990464074835483</v>
      </c>
      <c r="X34" s="3"/>
    </row>
    <row r="35" spans="1:24" x14ac:dyDescent="0.25">
      <c r="A35" s="230">
        <f t="shared" si="1"/>
        <v>0.77600000000000047</v>
      </c>
      <c r="B35" s="231">
        <f t="shared" si="0"/>
        <v>3093112.2448979737</v>
      </c>
      <c r="Q35" s="240">
        <f t="shared" si="27"/>
        <v>0.20971519999999999</v>
      </c>
      <c r="R35" s="199">
        <f t="shared" si="2"/>
        <v>209715.20000000001</v>
      </c>
      <c r="S35" s="241">
        <f t="shared" si="3"/>
        <v>9.9999999999999992E-2</v>
      </c>
      <c r="T35" s="242">
        <f t="shared" si="4"/>
        <v>-20972.62</v>
      </c>
      <c r="U35" s="241">
        <f t="shared" si="5"/>
        <v>20971.52</v>
      </c>
      <c r="V35" s="243">
        <f t="shared" si="10"/>
        <v>0.99995231832508591</v>
      </c>
      <c r="X35" s="3"/>
    </row>
    <row r="36" spans="1:24" x14ac:dyDescent="0.25">
      <c r="A36" s="230">
        <f t="shared" si="1"/>
        <v>0.80100000000000049</v>
      </c>
      <c r="B36" s="231">
        <f t="shared" si="0"/>
        <v>4045352.3900911827</v>
      </c>
      <c r="Q36" s="240">
        <f t="shared" si="27"/>
        <v>0.41943039999999998</v>
      </c>
      <c r="R36" s="199">
        <f t="shared" si="2"/>
        <v>419430.40000000002</v>
      </c>
      <c r="S36" s="241">
        <f t="shared" si="3"/>
        <v>9.9999999999999992E-2</v>
      </c>
      <c r="T36" s="242">
        <f t="shared" si="4"/>
        <v>-41944.14</v>
      </c>
      <c r="U36" s="241">
        <f t="shared" si="5"/>
        <v>41943.040000000001</v>
      </c>
      <c r="V36" s="243">
        <f t="shared" si="10"/>
        <v>0.99997615867323486</v>
      </c>
      <c r="X36" s="3"/>
    </row>
    <row r="37" spans="1:24" x14ac:dyDescent="0.25">
      <c r="A37" s="230">
        <f t="shared" si="1"/>
        <v>0.82600000000000051</v>
      </c>
      <c r="B37" s="231">
        <f t="shared" si="0"/>
        <v>5456467.168714527</v>
      </c>
      <c r="Q37" s="240">
        <f t="shared" si="27"/>
        <v>0.83886079999999996</v>
      </c>
      <c r="R37" s="199">
        <f t="shared" si="2"/>
        <v>838860.80000000005</v>
      </c>
      <c r="S37" s="241">
        <f t="shared" si="3"/>
        <v>9.9999999999999992E-2</v>
      </c>
      <c r="T37" s="242">
        <f t="shared" si="4"/>
        <v>-83887.180000000008</v>
      </c>
      <c r="U37" s="241">
        <f t="shared" si="5"/>
        <v>83886.080000000002</v>
      </c>
      <c r="V37" s="243">
        <f t="shared" si="10"/>
        <v>0.99998807920201227</v>
      </c>
      <c r="X37" s="3"/>
    </row>
    <row r="38" spans="1:24" x14ac:dyDescent="0.25">
      <c r="A38" s="230">
        <f t="shared" si="1"/>
        <v>0.85100000000000053</v>
      </c>
      <c r="B38" s="231">
        <f t="shared" si="0"/>
        <v>7666321.3368767789</v>
      </c>
      <c r="Q38" s="240">
        <f t="shared" si="27"/>
        <v>1.6777215999999999</v>
      </c>
      <c r="R38" s="199">
        <f t="shared" si="2"/>
        <v>1677721.6000000001</v>
      </c>
      <c r="S38" s="241">
        <f t="shared" si="3"/>
        <v>9.9999999999999992E-2</v>
      </c>
      <c r="T38" s="242">
        <f t="shared" si="4"/>
        <v>-167773.26</v>
      </c>
      <c r="U38" s="241">
        <f t="shared" si="5"/>
        <v>167772.16</v>
      </c>
      <c r="V38" s="243">
        <f t="shared" si="10"/>
        <v>0.99999403959373023</v>
      </c>
      <c r="X38" s="3"/>
    </row>
    <row r="39" spans="1:24" x14ac:dyDescent="0.25">
      <c r="A39" s="230">
        <f t="shared" si="1"/>
        <v>0.87600000000000056</v>
      </c>
      <c r="B39" s="231">
        <f t="shared" si="0"/>
        <v>11394380.853277942</v>
      </c>
      <c r="Q39" s="240">
        <f t="shared" si="27"/>
        <v>3.3554431999999998</v>
      </c>
      <c r="R39" s="199">
        <f t="shared" si="2"/>
        <v>3355443.2000000002</v>
      </c>
      <c r="S39" s="241">
        <f t="shared" si="3"/>
        <v>9.9999999999999992E-2</v>
      </c>
      <c r="T39" s="242">
        <f t="shared" si="4"/>
        <v>-335545.42</v>
      </c>
      <c r="U39" s="241">
        <f t="shared" si="5"/>
        <v>335544.32000000001</v>
      </c>
      <c r="V39" s="243">
        <f t="shared" si="10"/>
        <v>0.999997019825969</v>
      </c>
      <c r="X39" s="3"/>
    </row>
    <row r="40" spans="1:24" x14ac:dyDescent="0.25">
      <c r="A40" s="230">
        <f t="shared" si="1"/>
        <v>0.90100000000000058</v>
      </c>
      <c r="B40" s="231">
        <f t="shared" si="0"/>
        <v>18385878.991939832</v>
      </c>
      <c r="Q40" s="240">
        <f t="shared" si="27"/>
        <v>6.7108863999999997</v>
      </c>
      <c r="R40" s="199">
        <f t="shared" si="2"/>
        <v>6710886.4000000004</v>
      </c>
      <c r="S40" s="241">
        <f t="shared" si="3"/>
        <v>9.9999999999999992E-2</v>
      </c>
      <c r="T40" s="242">
        <f t="shared" si="4"/>
        <v>-671089.74</v>
      </c>
      <c r="U40" s="241">
        <f t="shared" si="5"/>
        <v>671088.64000000001</v>
      </c>
      <c r="V40" s="243">
        <f t="shared" si="10"/>
        <v>0.99999850965105008</v>
      </c>
      <c r="X40" s="3"/>
    </row>
    <row r="41" spans="1:24" x14ac:dyDescent="0.25">
      <c r="A41" s="230">
        <f t="shared" si="1"/>
        <v>0.9260000000000006</v>
      </c>
      <c r="B41" s="231">
        <f t="shared" si="0"/>
        <v>33820306.793280311</v>
      </c>
      <c r="Q41" s="240">
        <f t="shared" si="27"/>
        <v>13.421772799999999</v>
      </c>
      <c r="R41" s="199">
        <f t="shared" si="2"/>
        <v>13421772.800000001</v>
      </c>
      <c r="S41" s="241">
        <f t="shared" si="3"/>
        <v>9.9999999999999992E-2</v>
      </c>
      <c r="T41" s="242">
        <f t="shared" si="4"/>
        <v>-1342178.3800000001</v>
      </c>
      <c r="U41" s="241">
        <f t="shared" si="5"/>
        <v>1342177.28</v>
      </c>
      <c r="V41" s="243">
        <f t="shared" si="10"/>
        <v>0.99999925470910977</v>
      </c>
      <c r="X41" s="3"/>
    </row>
    <row r="42" spans="1:24" x14ac:dyDescent="0.25">
      <c r="A42" s="230">
        <f t="shared" si="1"/>
        <v>0.95100000000000062</v>
      </c>
      <c r="B42" s="231">
        <f t="shared" si="0"/>
        <v>79216992.919618919</v>
      </c>
      <c r="Q42" s="240">
        <f t="shared" si="27"/>
        <v>26.843545599999999</v>
      </c>
      <c r="R42" s="199">
        <f t="shared" si="2"/>
        <v>26843545.600000001</v>
      </c>
      <c r="S42" s="241">
        <f t="shared" si="3"/>
        <v>9.9999999999999992E-2</v>
      </c>
      <c r="T42" s="242">
        <f t="shared" si="4"/>
        <v>-2684355.66</v>
      </c>
      <c r="U42" s="241">
        <f t="shared" si="5"/>
        <v>2684354.5600000001</v>
      </c>
      <c r="V42" s="243">
        <f t="shared" si="10"/>
        <v>0.99999962840229284</v>
      </c>
      <c r="X42" s="3"/>
    </row>
    <row r="43" spans="1:24" x14ac:dyDescent="0.25">
      <c r="A43" s="230">
        <f t="shared" si="1"/>
        <v>0.97600000000000064</v>
      </c>
      <c r="B43" s="231">
        <f t="shared" si="0"/>
        <v>338888888.88890624</v>
      </c>
      <c r="Q43" s="240">
        <f t="shared" si="27"/>
        <v>53.687091199999998</v>
      </c>
      <c r="R43" s="199">
        <f t="shared" si="2"/>
        <v>53687091.200000003</v>
      </c>
      <c r="S43" s="241">
        <f t="shared" si="3"/>
        <v>9.9999999999999992E-2</v>
      </c>
      <c r="T43" s="242">
        <f t="shared" si="4"/>
        <v>-5368710.2199999997</v>
      </c>
      <c r="U43" s="241">
        <f t="shared" si="5"/>
        <v>5368709.1200000001</v>
      </c>
      <c r="V43" s="243">
        <f t="shared" si="10"/>
        <v>0.99999981466680776</v>
      </c>
      <c r="X43" s="3"/>
    </row>
    <row r="44" spans="1:24" ht="15.75" thickBot="1" x14ac:dyDescent="0.3">
      <c r="A44" s="252">
        <v>0.999</v>
      </c>
      <c r="B44" s="253">
        <f t="shared" si="0"/>
        <v>199800000000.00171</v>
      </c>
      <c r="Q44" s="240">
        <f t="shared" si="27"/>
        <v>107.3741824</v>
      </c>
      <c r="R44" s="199">
        <f t="shared" si="2"/>
        <v>107374182.40000001</v>
      </c>
      <c r="S44" s="241">
        <f t="shared" si="3"/>
        <v>9.9999999999999992E-2</v>
      </c>
      <c r="T44" s="242">
        <f t="shared" si="4"/>
        <v>-10737419.34</v>
      </c>
      <c r="U44" s="241">
        <f t="shared" si="5"/>
        <v>10737418.24</v>
      </c>
      <c r="V44" s="243">
        <f t="shared" si="10"/>
        <v>0.99999990314245235</v>
      </c>
      <c r="X44" s="3"/>
    </row>
    <row r="45" spans="1:24" ht="15.75" thickBot="1" x14ac:dyDescent="0.3">
      <c r="A45" s="2"/>
      <c r="Q45" s="254">
        <f t="shared" si="27"/>
        <v>214.74836479999999</v>
      </c>
      <c r="R45" s="255">
        <f t="shared" si="2"/>
        <v>214748364.80000001</v>
      </c>
      <c r="S45" s="256">
        <f t="shared" si="3"/>
        <v>9.9999999999999992E-2</v>
      </c>
      <c r="T45" s="257">
        <f t="shared" si="4"/>
        <v>-21474837.580000002</v>
      </c>
      <c r="U45" s="256">
        <f t="shared" si="5"/>
        <v>21474836.48</v>
      </c>
      <c r="V45" s="258">
        <f t="shared" si="10"/>
        <v>0.99999995902180683</v>
      </c>
      <c r="X45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="87" zoomScaleNormal="87" workbookViewId="0">
      <selection activeCell="K12" sqref="K12:M23"/>
    </sheetView>
  </sheetViews>
  <sheetFormatPr baseColWidth="10" defaultRowHeight="15" x14ac:dyDescent="0.25"/>
  <cols>
    <col min="2" max="2" width="14.7109375" bestFit="1" customWidth="1"/>
    <col min="4" max="4" width="13.28515625" customWidth="1"/>
    <col min="8" max="8" width="15" customWidth="1"/>
    <col min="9" max="9" width="15.28515625" customWidth="1"/>
    <col min="10" max="10" width="20.42578125" customWidth="1"/>
    <col min="11" max="11" width="19.85546875" customWidth="1"/>
    <col min="13" max="13" width="14" bestFit="1" customWidth="1"/>
    <col min="15" max="15" width="12.7109375" customWidth="1"/>
    <col min="16" max="16" width="12.7109375" style="2" customWidth="1"/>
    <col min="17" max="17" width="12" style="2" bestFit="1" customWidth="1"/>
    <col min="18" max="18" width="17.5703125" customWidth="1"/>
    <col min="19" max="19" width="22.7109375" bestFit="1" customWidth="1"/>
    <col min="20" max="20" width="11.85546875" bestFit="1" customWidth="1"/>
    <col min="21" max="21" width="20.140625" customWidth="1"/>
    <col min="23" max="23" width="14.5703125" bestFit="1" customWidth="1"/>
    <col min="24" max="24" width="18.42578125" bestFit="1" customWidth="1"/>
    <col min="25" max="25" width="12.5703125" customWidth="1"/>
    <col min="26" max="26" width="16.5703125" customWidth="1"/>
    <col min="34" max="34" width="12" customWidth="1"/>
    <col min="35" max="35" width="16.7109375" customWidth="1"/>
    <col min="36" max="36" width="20.42578125" customWidth="1"/>
    <col min="37" max="37" width="23.28515625" customWidth="1"/>
  </cols>
  <sheetData>
    <row r="1" spans="1:2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8" x14ac:dyDescent="0.25">
      <c r="A3" s="1"/>
      <c r="B3" t="s">
        <v>1</v>
      </c>
      <c r="C3" s="2"/>
      <c r="D3" s="2"/>
      <c r="O3" s="3"/>
      <c r="P3"/>
      <c r="Q3"/>
    </row>
    <row r="4" spans="1:28" x14ac:dyDescent="0.25">
      <c r="A4" s="1"/>
      <c r="B4" t="s">
        <v>2</v>
      </c>
    </row>
    <row r="5" spans="1:28" x14ac:dyDescent="0.25">
      <c r="A5" s="1"/>
      <c r="B5" t="s">
        <v>3</v>
      </c>
    </row>
    <row r="6" spans="1:28" x14ac:dyDescent="0.25">
      <c r="A6" s="1"/>
      <c r="B6" t="s">
        <v>4</v>
      </c>
    </row>
    <row r="7" spans="1:28" x14ac:dyDescent="0.25">
      <c r="A7" s="1"/>
    </row>
    <row r="8" spans="1:28" s="2" customFormat="1" x14ac:dyDescent="0.25">
      <c r="A8" s="4"/>
    </row>
    <row r="9" spans="1:28" x14ac:dyDescent="0.25">
      <c r="A9" s="5"/>
    </row>
    <row r="10" spans="1:28" x14ac:dyDescent="0.25">
      <c r="A10" s="1"/>
    </row>
    <row r="11" spans="1:28" ht="15.75" thickBot="1" x14ac:dyDescent="0.3">
      <c r="A11" s="1"/>
      <c r="C11" s="2"/>
      <c r="D11" s="2" t="s">
        <v>5</v>
      </c>
      <c r="P11" s="3"/>
      <c r="Q11"/>
    </row>
    <row r="12" spans="1:28" ht="15.75" thickBot="1" x14ac:dyDescent="0.3">
      <c r="A12" s="1"/>
      <c r="C12" s="2"/>
      <c r="D12" s="2"/>
      <c r="P12"/>
      <c r="Q12"/>
      <c r="V12" s="6" t="s">
        <v>6</v>
      </c>
      <c r="W12" s="7">
        <f>K13*H16</f>
        <v>0.24000000000000002</v>
      </c>
      <c r="Z12" s="8" t="s">
        <v>7</v>
      </c>
    </row>
    <row r="13" spans="1:28" ht="18.75" thickBot="1" x14ac:dyDescent="0.4">
      <c r="A13" s="1"/>
      <c r="B13" s="9" t="s">
        <v>8</v>
      </c>
      <c r="C13" s="2"/>
      <c r="H13" s="10" t="s">
        <v>9</v>
      </c>
      <c r="I13" s="11">
        <v>16000</v>
      </c>
      <c r="J13" s="12" t="s">
        <v>10</v>
      </c>
      <c r="K13" s="13">
        <v>24000</v>
      </c>
      <c r="L13" s="10" t="s">
        <v>11</v>
      </c>
      <c r="M13" s="14">
        <v>71000</v>
      </c>
      <c r="N13" s="15" t="s">
        <v>12</v>
      </c>
      <c r="O13" s="16">
        <f>K13-I13</f>
        <v>8000</v>
      </c>
      <c r="P13"/>
      <c r="Q13"/>
      <c r="V13" s="17" t="s">
        <v>13</v>
      </c>
      <c r="W13" s="18">
        <f>T27-$L$16</f>
        <v>7.7765976359232908E-2</v>
      </c>
      <c r="Z13" s="19" t="s">
        <v>14</v>
      </c>
    </row>
    <row r="14" spans="1:28" ht="15.75" thickBot="1" x14ac:dyDescent="0.3">
      <c r="A14" s="1"/>
      <c r="B14" s="20" t="s">
        <v>11</v>
      </c>
      <c r="C14" s="21">
        <v>66000</v>
      </c>
      <c r="D14" s="22" t="s">
        <v>15</v>
      </c>
      <c r="E14" s="23">
        <f>C15+C16</f>
        <v>1.1000000000000001E-5</v>
      </c>
      <c r="P14"/>
      <c r="Q14"/>
    </row>
    <row r="15" spans="1:28" ht="18.75" thickBot="1" x14ac:dyDescent="0.4">
      <c r="A15" s="1"/>
      <c r="B15" s="24" t="s">
        <v>16</v>
      </c>
      <c r="C15" s="21">
        <v>1.0000000000000001E-5</v>
      </c>
      <c r="D15" s="25" t="s">
        <v>17</v>
      </c>
      <c r="E15" s="26">
        <f>C20+C21+2*C22</f>
        <v>1.1000000000000003E-5</v>
      </c>
      <c r="F15" s="2"/>
      <c r="G15" s="27" t="s">
        <v>18</v>
      </c>
      <c r="H15" s="28" t="s">
        <v>19</v>
      </c>
      <c r="I15" s="28" t="s">
        <v>20</v>
      </c>
      <c r="J15" s="28" t="s">
        <v>21</v>
      </c>
      <c r="K15" s="28" t="s">
        <v>22</v>
      </c>
      <c r="L15" s="28" t="s">
        <v>23</v>
      </c>
      <c r="M15" s="28" t="s">
        <v>24</v>
      </c>
      <c r="N15" s="28" t="s">
        <v>25</v>
      </c>
      <c r="O15" s="28" t="s">
        <v>26</v>
      </c>
      <c r="P15" s="28" t="s">
        <v>27</v>
      </c>
      <c r="Q15" s="28" t="s">
        <v>28</v>
      </c>
      <c r="R15" s="28" t="s">
        <v>29</v>
      </c>
      <c r="S15" s="28" t="s">
        <v>30</v>
      </c>
      <c r="T15" s="28" t="s">
        <v>31</v>
      </c>
      <c r="U15" s="28" t="s">
        <v>32</v>
      </c>
      <c r="V15" s="28" t="s">
        <v>33</v>
      </c>
      <c r="W15" s="28" t="s">
        <v>34</v>
      </c>
      <c r="X15" s="28" t="s">
        <v>35</v>
      </c>
      <c r="Y15" s="28" t="s">
        <v>36</v>
      </c>
      <c r="Z15" s="29" t="s">
        <v>37</v>
      </c>
      <c r="AA15" s="2"/>
      <c r="AB15" s="2"/>
    </row>
    <row r="16" spans="1:28" x14ac:dyDescent="0.25">
      <c r="A16" s="1"/>
      <c r="B16" s="24" t="s">
        <v>38</v>
      </c>
      <c r="C16" s="30">
        <v>9.9999999999999995E-7</v>
      </c>
      <c r="D16" s="25" t="s">
        <v>39</v>
      </c>
      <c r="E16" s="26">
        <f>C23+C24+2*C25</f>
        <v>1.1E-5</v>
      </c>
      <c r="G16" s="31">
        <v>0</v>
      </c>
      <c r="H16" s="32">
        <v>1.0000000000000001E-5</v>
      </c>
      <c r="I16" s="33">
        <f t="shared" ref="I16:I27" si="0">H16*G16</f>
        <v>0</v>
      </c>
      <c r="J16" s="34"/>
      <c r="K16" s="34"/>
      <c r="L16" s="34">
        <f>H16*I13</f>
        <v>0.16</v>
      </c>
      <c r="M16" s="34"/>
      <c r="N16" s="34"/>
      <c r="O16" s="34"/>
      <c r="P16" s="35">
        <f>H16</f>
        <v>1.0000000000000001E-5</v>
      </c>
      <c r="Q16" s="34">
        <v>0</v>
      </c>
      <c r="R16" s="34">
        <v>0</v>
      </c>
      <c r="S16" s="34"/>
      <c r="T16" s="34">
        <f>L16</f>
        <v>0.16</v>
      </c>
      <c r="U16" s="34"/>
      <c r="V16" s="34"/>
      <c r="W16" s="36"/>
      <c r="X16" s="36"/>
      <c r="Y16" s="36"/>
      <c r="Z16" s="37"/>
    </row>
    <row r="17" spans="1:26" x14ac:dyDescent="0.25">
      <c r="A17" s="1"/>
      <c r="B17" s="38" t="s">
        <v>24</v>
      </c>
      <c r="C17" s="39">
        <f>C14</f>
        <v>66000</v>
      </c>
      <c r="D17" s="40" t="s">
        <v>40</v>
      </c>
      <c r="E17" s="41">
        <f>1/(C14*C15)</f>
        <v>1.5151515151515151</v>
      </c>
      <c r="G17" s="31">
        <v>0.1</v>
      </c>
      <c r="H17" s="33">
        <f t="shared" ref="H17:H27" si="1">H16</f>
        <v>1.0000000000000001E-5</v>
      </c>
      <c r="I17" s="33">
        <f t="shared" si="0"/>
        <v>1.0000000000000002E-6</v>
      </c>
      <c r="J17" s="34">
        <f t="shared" ref="J17:J27" si="2">1/I17</f>
        <v>999999.99999999988</v>
      </c>
      <c r="K17" s="34">
        <f t="shared" ref="K17:K27" si="3">LOG10(I17)</f>
        <v>-6</v>
      </c>
      <c r="L17" s="34">
        <f t="shared" ref="L17:L27" si="4">$I$13*H17</f>
        <v>0.16</v>
      </c>
      <c r="M17" s="34">
        <f t="shared" ref="M17:M27" si="5">$M$13</f>
        <v>71000</v>
      </c>
      <c r="N17" s="34">
        <f t="shared" ref="N17:N27" si="6">-($M$13*H17+$M$13*I17+1)</f>
        <v>-1.7810000000000001</v>
      </c>
      <c r="O17" s="35">
        <f t="shared" ref="O17:O27" si="7">$M$13*H17*I17</f>
        <v>7.1000000000000019E-7</v>
      </c>
      <c r="P17" s="34">
        <f t="shared" ref="P17:P27" si="8">H17-R17</f>
        <v>9.5948022745848428E-6</v>
      </c>
      <c r="Q17" s="34">
        <f t="shared" ref="Q17:Q27" si="9">I17-R17</f>
        <v>5.9480227458484236E-7</v>
      </c>
      <c r="R17" s="34">
        <f t="shared" ref="R17:R27" si="10">(-N17-SQRT((N17^2-4*M17*O17)))/(2*M17)</f>
        <v>4.0519772541515785E-7</v>
      </c>
      <c r="S17" s="34">
        <f t="shared" ref="S17:S27" si="11">R17*$K$13</f>
        <v>9.7247454099637885E-3</v>
      </c>
      <c r="T17" s="42">
        <f t="shared" ref="T17:T27" si="12">P17*$I$13+R17*$K$13</f>
        <v>0.16324158180332127</v>
      </c>
      <c r="U17" s="34">
        <f t="shared" ref="U17:U27" si="13">1/(T17-$L$16)</f>
        <v>308.49136646047884</v>
      </c>
      <c r="V17" s="34">
        <f t="shared" ref="V17:V27" si="14">LOG10(U17)</f>
        <v>2.4892430142329878</v>
      </c>
      <c r="W17" s="34">
        <f t="shared" ref="W17:W27" si="15">LOG10((T17-$L$16)/$W$13)</f>
        <v>-1.3800326432101224</v>
      </c>
      <c r="X17" s="34">
        <f t="shared" ref="X17:X27" si="16">LOG10((T17-$L$16)/($W$12-$L$16))</f>
        <v>-1.3923330012249313</v>
      </c>
      <c r="Y17" s="34">
        <f t="shared" ref="Y17:Y27" si="17">H17*U17</f>
        <v>3.0849136646047886E-3</v>
      </c>
      <c r="Z17" s="37">
        <f t="shared" ref="Z17:Z27" si="18">$M$13*I17</f>
        <v>7.1000000000000008E-2</v>
      </c>
    </row>
    <row r="18" spans="1:26" x14ac:dyDescent="0.25">
      <c r="A18" s="1"/>
      <c r="B18" s="24" t="s">
        <v>25</v>
      </c>
      <c r="C18" s="43">
        <f>-(C14*C15+C14*C16+1)</f>
        <v>-1.726</v>
      </c>
      <c r="D18" s="25" t="s">
        <v>41</v>
      </c>
      <c r="E18" s="26">
        <f>(-C18+SQRT((C18^2-4*C17*C19)))/(2*C17)</f>
        <v>2.576336712917549E-5</v>
      </c>
      <c r="G18" s="31">
        <v>0.25</v>
      </c>
      <c r="H18" s="33">
        <f t="shared" si="1"/>
        <v>1.0000000000000001E-5</v>
      </c>
      <c r="I18" s="33">
        <f t="shared" si="0"/>
        <v>2.5000000000000002E-6</v>
      </c>
      <c r="J18" s="34">
        <f t="shared" si="2"/>
        <v>399999.99999999994</v>
      </c>
      <c r="K18" s="34">
        <f t="shared" si="3"/>
        <v>-5.6020599913279625</v>
      </c>
      <c r="L18" s="34">
        <f t="shared" si="4"/>
        <v>0.16</v>
      </c>
      <c r="M18" s="34">
        <f t="shared" si="5"/>
        <v>71000</v>
      </c>
      <c r="N18" s="34">
        <f t="shared" si="6"/>
        <v>-1.8875000000000002</v>
      </c>
      <c r="O18" s="35">
        <f t="shared" si="7"/>
        <v>1.7750000000000004E-6</v>
      </c>
      <c r="P18" s="34">
        <f t="shared" si="8"/>
        <v>9.0237524739150884E-6</v>
      </c>
      <c r="Q18" s="34">
        <f t="shared" si="9"/>
        <v>1.5237524739150878E-6</v>
      </c>
      <c r="R18" s="34">
        <f t="shared" si="10"/>
        <v>9.762475260849124E-7</v>
      </c>
      <c r="S18" s="34">
        <f t="shared" si="11"/>
        <v>2.3429940626037898E-2</v>
      </c>
      <c r="T18" s="42">
        <f t="shared" si="12"/>
        <v>0.16780998020867932</v>
      </c>
      <c r="U18" s="34">
        <f t="shared" si="13"/>
        <v>128.04129758084264</v>
      </c>
      <c r="V18" s="34">
        <f t="shared" si="14"/>
        <v>2.1073500666697229</v>
      </c>
      <c r="W18" s="34">
        <f t="shared" si="15"/>
        <v>-0.99813969564685778</v>
      </c>
      <c r="X18" s="34">
        <f t="shared" si="16"/>
        <v>-1.0104400536616667</v>
      </c>
      <c r="Y18" s="34">
        <f t="shared" si="17"/>
        <v>1.2804129758084266E-3</v>
      </c>
      <c r="Z18" s="37">
        <f t="shared" si="18"/>
        <v>0.17750000000000002</v>
      </c>
    </row>
    <row r="19" spans="1:26" ht="14.25" customHeight="1" x14ac:dyDescent="0.25">
      <c r="A19" s="1"/>
      <c r="B19" s="24" t="s">
        <v>26</v>
      </c>
      <c r="C19" s="43">
        <f>C14*C15*C16</f>
        <v>6.6000000000000003E-7</v>
      </c>
      <c r="D19" s="25" t="s">
        <v>42</v>
      </c>
      <c r="E19" s="26">
        <f>(-C18-SQRT((C18^2-4*C17*C19)))/(2*C17)</f>
        <v>3.8814802233965769E-7</v>
      </c>
      <c r="G19" s="31">
        <v>0.5</v>
      </c>
      <c r="H19" s="33">
        <f t="shared" si="1"/>
        <v>1.0000000000000001E-5</v>
      </c>
      <c r="I19" s="33">
        <f t="shared" si="0"/>
        <v>5.0000000000000004E-6</v>
      </c>
      <c r="J19" s="34">
        <f t="shared" si="2"/>
        <v>199999.99999999997</v>
      </c>
      <c r="K19" s="34">
        <f t="shared" si="3"/>
        <v>-5.3010299956639813</v>
      </c>
      <c r="L19" s="34">
        <f t="shared" si="4"/>
        <v>0.16</v>
      </c>
      <c r="M19" s="34">
        <f t="shared" si="5"/>
        <v>71000</v>
      </c>
      <c r="N19" s="34">
        <f t="shared" si="6"/>
        <v>-2.0650000000000004</v>
      </c>
      <c r="O19" s="35">
        <f t="shared" si="7"/>
        <v>3.5500000000000007E-6</v>
      </c>
      <c r="P19" s="34">
        <f t="shared" si="8"/>
        <v>8.1651119600704996E-6</v>
      </c>
      <c r="Q19" s="34">
        <f t="shared" si="9"/>
        <v>3.1651119600704983E-6</v>
      </c>
      <c r="R19" s="34">
        <f t="shared" si="10"/>
        <v>1.8348880399295019E-6</v>
      </c>
      <c r="S19" s="34">
        <f t="shared" si="11"/>
        <v>4.4037312958308046E-2</v>
      </c>
      <c r="T19" s="42">
        <f t="shared" si="12"/>
        <v>0.17467910431943603</v>
      </c>
      <c r="U19" s="34">
        <f t="shared" si="13"/>
        <v>68.124047505809926</v>
      </c>
      <c r="V19" s="34">
        <f t="shared" si="14"/>
        <v>1.8333004431252471</v>
      </c>
      <c r="W19" s="34">
        <f t="shared" si="15"/>
        <v>-0.72409007210238197</v>
      </c>
      <c r="X19" s="34">
        <f t="shared" si="16"/>
        <v>-0.73639043011719085</v>
      </c>
      <c r="Y19" s="34">
        <f t="shared" si="17"/>
        <v>6.8124047505809936E-4</v>
      </c>
      <c r="Z19" s="37">
        <f t="shared" si="18"/>
        <v>0.35500000000000004</v>
      </c>
    </row>
    <row r="20" spans="1:26" ht="15.75" customHeight="1" x14ac:dyDescent="0.25">
      <c r="A20" s="1"/>
      <c r="B20" s="38" t="s">
        <v>43</v>
      </c>
      <c r="C20" s="44">
        <f>C15-E18</f>
        <v>-1.5763367129175488E-5</v>
      </c>
      <c r="D20" s="45" t="s">
        <v>44</v>
      </c>
      <c r="E20" s="46">
        <f>C20+C22</f>
        <v>1.0000000000000003E-5</v>
      </c>
      <c r="G20" s="31">
        <v>0.75</v>
      </c>
      <c r="H20" s="33">
        <f t="shared" si="1"/>
        <v>1.0000000000000001E-5</v>
      </c>
      <c r="I20" s="33">
        <f t="shared" si="0"/>
        <v>7.500000000000001E-6</v>
      </c>
      <c r="J20" s="34">
        <f t="shared" si="2"/>
        <v>133333.33333333331</v>
      </c>
      <c r="K20" s="34">
        <f t="shared" si="3"/>
        <v>-5.1249387366082999</v>
      </c>
      <c r="L20" s="34">
        <f t="shared" si="4"/>
        <v>0.16</v>
      </c>
      <c r="M20" s="34">
        <f t="shared" si="5"/>
        <v>71000</v>
      </c>
      <c r="N20" s="34">
        <f t="shared" si="6"/>
        <v>-2.2425000000000002</v>
      </c>
      <c r="O20" s="35">
        <f t="shared" si="7"/>
        <v>5.3250000000000015E-6</v>
      </c>
      <c r="P20" s="34">
        <f t="shared" si="8"/>
        <v>7.4136266568674564E-6</v>
      </c>
      <c r="Q20" s="34">
        <f t="shared" si="9"/>
        <v>4.9136266568674566E-6</v>
      </c>
      <c r="R20" s="34">
        <f t="shared" si="10"/>
        <v>2.5863733431325445E-6</v>
      </c>
      <c r="S20" s="34">
        <f t="shared" si="11"/>
        <v>6.2072960235181066E-2</v>
      </c>
      <c r="T20" s="42">
        <f t="shared" si="12"/>
        <v>0.18069098674506037</v>
      </c>
      <c r="U20" s="34">
        <f t="shared" si="13"/>
        <v>48.330222831868248</v>
      </c>
      <c r="V20" s="34">
        <f t="shared" si="14"/>
        <v>1.684218797506513</v>
      </c>
      <c r="W20" s="34">
        <f t="shared" si="15"/>
        <v>-0.57500842648364769</v>
      </c>
      <c r="X20" s="34">
        <f t="shared" si="16"/>
        <v>-0.58730878449845658</v>
      </c>
      <c r="Y20" s="34">
        <f t="shared" si="17"/>
        <v>4.833022283186825E-4</v>
      </c>
      <c r="Z20" s="37">
        <f t="shared" si="18"/>
        <v>0.53250000000000008</v>
      </c>
    </row>
    <row r="21" spans="1:26" x14ac:dyDescent="0.25">
      <c r="A21" s="1"/>
      <c r="B21" s="24" t="s">
        <v>45</v>
      </c>
      <c r="C21" s="47">
        <f>C16-E18</f>
        <v>-2.476336712917549E-5</v>
      </c>
      <c r="D21" s="25" t="s">
        <v>46</v>
      </c>
      <c r="E21" s="26">
        <f>C21+C22</f>
        <v>1.0000000000000006E-6</v>
      </c>
      <c r="G21" s="31">
        <v>1</v>
      </c>
      <c r="H21" s="33">
        <f t="shared" si="1"/>
        <v>1.0000000000000001E-5</v>
      </c>
      <c r="I21" s="33">
        <f t="shared" si="0"/>
        <v>1.0000000000000001E-5</v>
      </c>
      <c r="J21" s="34">
        <f t="shared" si="2"/>
        <v>99999.999999999985</v>
      </c>
      <c r="K21" s="34">
        <f t="shared" si="3"/>
        <v>-5</v>
      </c>
      <c r="L21" s="34">
        <f t="shared" si="4"/>
        <v>0.16</v>
      </c>
      <c r="M21" s="34">
        <f t="shared" si="5"/>
        <v>71000</v>
      </c>
      <c r="N21" s="34">
        <f t="shared" si="6"/>
        <v>-2.42</v>
      </c>
      <c r="O21" s="35">
        <f t="shared" si="7"/>
        <v>7.1000000000000015E-6</v>
      </c>
      <c r="P21" s="34">
        <f t="shared" si="8"/>
        <v>6.7576886917362159E-6</v>
      </c>
      <c r="Q21" s="34">
        <f t="shared" si="9"/>
        <v>6.7576886917362159E-6</v>
      </c>
      <c r="R21" s="34">
        <f t="shared" si="10"/>
        <v>3.2423113082637853E-6</v>
      </c>
      <c r="S21" s="34">
        <f t="shared" si="11"/>
        <v>7.7815471398330852E-2</v>
      </c>
      <c r="T21" s="42">
        <f t="shared" si="12"/>
        <v>0.1859384904661103</v>
      </c>
      <c r="U21" s="34">
        <f t="shared" si="13"/>
        <v>38.552744667487147</v>
      </c>
      <c r="V21" s="34">
        <f t="shared" si="14"/>
        <v>1.5860553020111725</v>
      </c>
      <c r="W21" s="34">
        <f t="shared" si="15"/>
        <v>-0.47684493098830733</v>
      </c>
      <c r="X21" s="34">
        <f t="shared" si="16"/>
        <v>-0.48914528900311627</v>
      </c>
      <c r="Y21" s="34">
        <f t="shared" si="17"/>
        <v>3.855274466748715E-4</v>
      </c>
      <c r="Z21" s="37">
        <f t="shared" si="18"/>
        <v>0.71000000000000008</v>
      </c>
    </row>
    <row r="22" spans="1:26" x14ac:dyDescent="0.25">
      <c r="A22" s="1"/>
      <c r="B22" s="24" t="s">
        <v>47</v>
      </c>
      <c r="C22" s="47">
        <f>E18</f>
        <v>2.576336712917549E-5</v>
      </c>
      <c r="D22" s="25" t="s">
        <v>48</v>
      </c>
      <c r="E22" s="26">
        <f>C22/(C20*C21)</f>
        <v>66000.000000000029</v>
      </c>
      <c r="G22" s="31">
        <v>2.5</v>
      </c>
      <c r="H22" s="33">
        <f t="shared" si="1"/>
        <v>1.0000000000000001E-5</v>
      </c>
      <c r="I22" s="33">
        <f t="shared" si="0"/>
        <v>2.5000000000000001E-5</v>
      </c>
      <c r="J22" s="34">
        <f t="shared" si="2"/>
        <v>40000</v>
      </c>
      <c r="K22" s="34">
        <f t="shared" si="3"/>
        <v>-4.6020599913279625</v>
      </c>
      <c r="L22" s="34">
        <f t="shared" si="4"/>
        <v>0.16</v>
      </c>
      <c r="M22" s="34">
        <f t="shared" si="5"/>
        <v>71000</v>
      </c>
      <c r="N22" s="34">
        <f t="shared" si="6"/>
        <v>-3.4850000000000003</v>
      </c>
      <c r="O22" s="35">
        <f t="shared" si="7"/>
        <v>1.7750000000000001E-5</v>
      </c>
      <c r="P22" s="34">
        <f t="shared" si="8"/>
        <v>4.2279944233000502E-6</v>
      </c>
      <c r="Q22" s="34">
        <f t="shared" si="9"/>
        <v>1.922799442330005E-5</v>
      </c>
      <c r="R22" s="34">
        <f t="shared" si="10"/>
        <v>5.7720055766999506E-6</v>
      </c>
      <c r="S22" s="34">
        <f t="shared" si="11"/>
        <v>0.13852813384079882</v>
      </c>
      <c r="T22" s="42">
        <f t="shared" si="12"/>
        <v>0.20617604461359962</v>
      </c>
      <c r="U22" s="34">
        <f t="shared" si="13"/>
        <v>21.65625073277678</v>
      </c>
      <c r="V22" s="34">
        <f t="shared" si="14"/>
        <v>1.3355832709870075</v>
      </c>
      <c r="W22" s="34">
        <f t="shared" si="15"/>
        <v>-0.22637289996414234</v>
      </c>
      <c r="X22" s="34">
        <f t="shared" si="16"/>
        <v>-0.23867325797895123</v>
      </c>
      <c r="Y22" s="34">
        <f t="shared" si="17"/>
        <v>2.1656250732776783E-4</v>
      </c>
      <c r="Z22" s="37">
        <f t="shared" si="18"/>
        <v>1.7750000000000001</v>
      </c>
    </row>
    <row r="23" spans="1:26" x14ac:dyDescent="0.25">
      <c r="A23" s="1"/>
      <c r="B23" s="38" t="s">
        <v>49</v>
      </c>
      <c r="C23" s="44">
        <f>C15-E19</f>
        <v>9.6118519776603435E-6</v>
      </c>
      <c r="D23" s="45" t="s">
        <v>44</v>
      </c>
      <c r="E23" s="46">
        <f>C23+C25</f>
        <v>1.0000000000000001E-5</v>
      </c>
      <c r="G23" s="31">
        <v>5</v>
      </c>
      <c r="H23" s="33">
        <f t="shared" si="1"/>
        <v>1.0000000000000001E-5</v>
      </c>
      <c r="I23" s="33">
        <f t="shared" si="0"/>
        <v>5.0000000000000002E-5</v>
      </c>
      <c r="J23" s="34">
        <f t="shared" si="2"/>
        <v>20000</v>
      </c>
      <c r="K23" s="34">
        <f t="shared" si="3"/>
        <v>-4.3010299956639813</v>
      </c>
      <c r="L23" s="34">
        <f t="shared" si="4"/>
        <v>0.16</v>
      </c>
      <c r="M23" s="34">
        <f t="shared" si="5"/>
        <v>71000</v>
      </c>
      <c r="N23" s="34">
        <f t="shared" si="6"/>
        <v>-5.2600000000000007</v>
      </c>
      <c r="O23" s="35">
        <f t="shared" si="7"/>
        <v>3.5500000000000002E-5</v>
      </c>
      <c r="P23" s="34">
        <f t="shared" si="8"/>
        <v>2.4895690762583848E-6</v>
      </c>
      <c r="Q23" s="34">
        <f t="shared" si="9"/>
        <v>4.2489569076258385E-5</v>
      </c>
      <c r="R23" s="34">
        <f t="shared" si="10"/>
        <v>7.5104309237416161E-6</v>
      </c>
      <c r="S23" s="34">
        <f t="shared" si="11"/>
        <v>0.18025034216979879</v>
      </c>
      <c r="T23" s="42">
        <f t="shared" si="12"/>
        <v>0.22008344738993296</v>
      </c>
      <c r="U23" s="34">
        <f t="shared" si="13"/>
        <v>16.643519029627967</v>
      </c>
      <c r="V23" s="34">
        <f t="shared" si="14"/>
        <v>1.2212451569048144</v>
      </c>
      <c r="W23" s="34">
        <f t="shared" si="15"/>
        <v>-0.11203478588194925</v>
      </c>
      <c r="X23" s="34">
        <f t="shared" si="16"/>
        <v>-0.12433514389675814</v>
      </c>
      <c r="Y23" s="34">
        <f t="shared" si="17"/>
        <v>1.664351902962797E-4</v>
      </c>
      <c r="Z23" s="37">
        <f t="shared" si="18"/>
        <v>3.5500000000000003</v>
      </c>
    </row>
    <row r="24" spans="1:26" x14ac:dyDescent="0.25">
      <c r="A24" s="1"/>
      <c r="B24" s="24" t="s">
        <v>50</v>
      </c>
      <c r="C24" s="47">
        <f>C16-E19</f>
        <v>6.1185197766034221E-7</v>
      </c>
      <c r="D24" s="25" t="s">
        <v>46</v>
      </c>
      <c r="E24" s="26">
        <f>C24+C25</f>
        <v>9.9999999999999995E-7</v>
      </c>
      <c r="G24" s="31">
        <v>7.5</v>
      </c>
      <c r="H24" s="33">
        <f t="shared" si="1"/>
        <v>1.0000000000000001E-5</v>
      </c>
      <c r="I24" s="33">
        <f t="shared" si="0"/>
        <v>7.5000000000000007E-5</v>
      </c>
      <c r="J24" s="34">
        <f t="shared" si="2"/>
        <v>13333.333333333332</v>
      </c>
      <c r="K24" s="34">
        <f t="shared" si="3"/>
        <v>-4.1249387366082999</v>
      </c>
      <c r="L24" s="34">
        <f t="shared" si="4"/>
        <v>0.16</v>
      </c>
      <c r="M24" s="34">
        <f t="shared" si="5"/>
        <v>71000</v>
      </c>
      <c r="N24" s="34">
        <f t="shared" si="6"/>
        <v>-7.0350000000000001</v>
      </c>
      <c r="O24" s="35">
        <f t="shared" si="7"/>
        <v>5.3250000000000014E-5</v>
      </c>
      <c r="P24" s="34">
        <f t="shared" si="8"/>
        <v>1.7425485730046449E-6</v>
      </c>
      <c r="Q24" s="34">
        <f t="shared" si="9"/>
        <v>6.6742548573004654E-5</v>
      </c>
      <c r="R24" s="34">
        <f t="shared" si="10"/>
        <v>8.2574514269953559E-6</v>
      </c>
      <c r="S24" s="34">
        <f t="shared" si="11"/>
        <v>0.19817883424788854</v>
      </c>
      <c r="T24" s="42">
        <f t="shared" si="12"/>
        <v>0.22605961141596287</v>
      </c>
      <c r="U24" s="34">
        <f t="shared" si="13"/>
        <v>15.137842602543021</v>
      </c>
      <c r="V24" s="34">
        <f t="shared" si="14"/>
        <v>1.1800639852979413</v>
      </c>
      <c r="W24" s="34">
        <f t="shared" si="15"/>
        <v>-7.0853614275076165E-2</v>
      </c>
      <c r="X24" s="34">
        <f t="shared" si="16"/>
        <v>-8.3153972289885095E-2</v>
      </c>
      <c r="Y24" s="34">
        <f t="shared" si="17"/>
        <v>1.5137842602543021E-4</v>
      </c>
      <c r="Z24" s="37">
        <f t="shared" si="18"/>
        <v>5.3250000000000002</v>
      </c>
    </row>
    <row r="25" spans="1:26" ht="15.75" thickBot="1" x14ac:dyDescent="0.3">
      <c r="A25" s="1"/>
      <c r="B25" s="48" t="s">
        <v>51</v>
      </c>
      <c r="C25" s="49">
        <f>E19</f>
        <v>3.8814802233965769E-7</v>
      </c>
      <c r="D25" s="50" t="s">
        <v>52</v>
      </c>
      <c r="E25" s="51">
        <f>C25/(C23*C24)</f>
        <v>66000.000000000131</v>
      </c>
      <c r="G25" s="31">
        <v>10</v>
      </c>
      <c r="H25" s="33">
        <f t="shared" si="1"/>
        <v>1.0000000000000001E-5</v>
      </c>
      <c r="I25" s="33">
        <f t="shared" si="0"/>
        <v>1E-4</v>
      </c>
      <c r="J25" s="34">
        <f t="shared" si="2"/>
        <v>10000</v>
      </c>
      <c r="K25" s="34">
        <f t="shared" si="3"/>
        <v>-4</v>
      </c>
      <c r="L25" s="34">
        <f t="shared" si="4"/>
        <v>0.16</v>
      </c>
      <c r="M25" s="34">
        <f t="shared" si="5"/>
        <v>71000</v>
      </c>
      <c r="N25" s="34">
        <f t="shared" si="6"/>
        <v>-8.81</v>
      </c>
      <c r="O25" s="35">
        <f t="shared" si="7"/>
        <v>7.1000000000000005E-5</v>
      </c>
      <c r="P25" s="34">
        <f t="shared" si="8"/>
        <v>1.3360306586758497E-6</v>
      </c>
      <c r="Q25" s="34">
        <f t="shared" si="9"/>
        <v>9.1336030658675855E-5</v>
      </c>
      <c r="R25" s="34">
        <f t="shared" si="10"/>
        <v>8.6639693413241511E-6</v>
      </c>
      <c r="S25" s="34">
        <f t="shared" si="11"/>
        <v>0.20793526419177963</v>
      </c>
      <c r="T25" s="42">
        <f t="shared" si="12"/>
        <v>0.22931175473059323</v>
      </c>
      <c r="U25" s="34">
        <f t="shared" si="13"/>
        <v>14.427567212616161</v>
      </c>
      <c r="V25" s="34">
        <f t="shared" si="14"/>
        <v>1.1591931062002685</v>
      </c>
      <c r="W25" s="34">
        <f t="shared" si="15"/>
        <v>-4.9982735177403315E-2</v>
      </c>
      <c r="X25" s="34">
        <f t="shared" si="16"/>
        <v>-6.2283093192212251E-2</v>
      </c>
      <c r="Y25" s="34">
        <f t="shared" si="17"/>
        <v>1.4427567212616161E-4</v>
      </c>
      <c r="Z25" s="37">
        <f t="shared" si="18"/>
        <v>7.1000000000000005</v>
      </c>
    </row>
    <row r="26" spans="1:26" ht="15.75" thickBot="1" x14ac:dyDescent="0.3">
      <c r="A26" s="1"/>
      <c r="B26" s="2"/>
      <c r="C26" s="2"/>
      <c r="G26" s="31">
        <v>20</v>
      </c>
      <c r="H26" s="33">
        <f t="shared" si="1"/>
        <v>1.0000000000000001E-5</v>
      </c>
      <c r="I26" s="33">
        <f t="shared" si="0"/>
        <v>2.0000000000000001E-4</v>
      </c>
      <c r="J26" s="34">
        <f t="shared" si="2"/>
        <v>5000</v>
      </c>
      <c r="K26" s="34">
        <f t="shared" si="3"/>
        <v>-3.6989700043360187</v>
      </c>
      <c r="L26" s="34">
        <f t="shared" si="4"/>
        <v>0.16</v>
      </c>
      <c r="M26" s="34">
        <f t="shared" si="5"/>
        <v>71000</v>
      </c>
      <c r="N26" s="34">
        <f t="shared" si="6"/>
        <v>-15.910000000000002</v>
      </c>
      <c r="O26" s="35">
        <f t="shared" si="7"/>
        <v>1.4200000000000001E-4</v>
      </c>
      <c r="P26" s="34">
        <f t="shared" si="8"/>
        <v>6.8781303240197246E-7</v>
      </c>
      <c r="Q26" s="34">
        <f t="shared" si="9"/>
        <v>1.9068781303240197E-4</v>
      </c>
      <c r="R26" s="34">
        <f t="shared" si="10"/>
        <v>9.3121869675980284E-6</v>
      </c>
      <c r="S26" s="34">
        <f t="shared" si="11"/>
        <v>0.22349248722235268</v>
      </c>
      <c r="T26" s="42">
        <f t="shared" si="12"/>
        <v>0.23449749574078424</v>
      </c>
      <c r="U26" s="34">
        <f t="shared" si="13"/>
        <v>13.423270004665971</v>
      </c>
      <c r="V26" s="34">
        <f t="shared" si="14"/>
        <v>1.1278583259663144</v>
      </c>
      <c r="W26" s="34">
        <f t="shared" si="15"/>
        <v>-1.8647954943449254E-2</v>
      </c>
      <c r="X26" s="34">
        <f t="shared" si="16"/>
        <v>-3.0948312958258183E-2</v>
      </c>
      <c r="Y26" s="34">
        <f t="shared" si="17"/>
        <v>1.3423270004665972E-4</v>
      </c>
      <c r="Z26" s="37">
        <f t="shared" si="18"/>
        <v>14.200000000000001</v>
      </c>
    </row>
    <row r="27" spans="1:26" ht="18.75" thickBot="1" x14ac:dyDescent="0.4">
      <c r="A27" s="1"/>
      <c r="B27" s="2"/>
      <c r="C27" s="2"/>
      <c r="D27" s="52" t="s">
        <v>53</v>
      </c>
      <c r="E27" s="53">
        <f>C14*C16</f>
        <v>6.6000000000000003E-2</v>
      </c>
      <c r="G27" s="54">
        <v>50</v>
      </c>
      <c r="H27" s="55">
        <f t="shared" si="1"/>
        <v>1.0000000000000001E-5</v>
      </c>
      <c r="I27" s="55">
        <f t="shared" si="0"/>
        <v>5.0000000000000001E-4</v>
      </c>
      <c r="J27" s="56">
        <f t="shared" si="2"/>
        <v>2000</v>
      </c>
      <c r="K27" s="56">
        <f t="shared" si="3"/>
        <v>-3.3010299956639813</v>
      </c>
      <c r="L27" s="56">
        <f t="shared" si="4"/>
        <v>0.16</v>
      </c>
      <c r="M27" s="56">
        <f t="shared" si="5"/>
        <v>71000</v>
      </c>
      <c r="N27" s="56">
        <f t="shared" si="6"/>
        <v>-37.21</v>
      </c>
      <c r="O27" s="57">
        <f t="shared" si="7"/>
        <v>3.5500000000000006E-4</v>
      </c>
      <c r="P27" s="56">
        <f t="shared" si="8"/>
        <v>2.7925295509588724E-7</v>
      </c>
      <c r="Q27" s="56">
        <f t="shared" si="9"/>
        <v>4.9027925295509593E-4</v>
      </c>
      <c r="R27" s="56">
        <f t="shared" si="10"/>
        <v>9.7207470449041136E-6</v>
      </c>
      <c r="S27" s="56">
        <f t="shared" si="11"/>
        <v>0.23329792907769872</v>
      </c>
      <c r="T27" s="58">
        <f t="shared" si="12"/>
        <v>0.23776597635923291</v>
      </c>
      <c r="U27" s="56">
        <f t="shared" si="13"/>
        <v>12.859093999933728</v>
      </c>
      <c r="V27" s="56">
        <f t="shared" si="14"/>
        <v>1.1092103710228653</v>
      </c>
      <c r="W27" s="56">
        <f t="shared" si="15"/>
        <v>0</v>
      </c>
      <c r="X27" s="56">
        <f t="shared" si="16"/>
        <v>-1.2300358014808941E-2</v>
      </c>
      <c r="Y27" s="56">
        <f t="shared" si="17"/>
        <v>1.2859093999933731E-4</v>
      </c>
      <c r="Z27" s="59">
        <f t="shared" si="18"/>
        <v>35.5</v>
      </c>
    </row>
    <row r="28" spans="1:26" ht="15.75" thickBot="1" x14ac:dyDescent="0.3">
      <c r="A28" s="1"/>
      <c r="C28" s="2"/>
      <c r="D28" s="2"/>
      <c r="E28" s="60"/>
      <c r="F28" s="60"/>
      <c r="G28" s="60"/>
      <c r="P28"/>
      <c r="Q28"/>
      <c r="U28" s="61" t="s">
        <v>54</v>
      </c>
    </row>
    <row r="29" spans="1:26" ht="18" x14ac:dyDescent="0.35">
      <c r="A29" s="1"/>
      <c r="C29" s="2"/>
      <c r="D29" s="2"/>
      <c r="E29" s="60"/>
      <c r="F29" s="62"/>
      <c r="G29" s="60"/>
      <c r="P29"/>
      <c r="Q29"/>
      <c r="U29" s="63" t="s">
        <v>55</v>
      </c>
      <c r="V29" s="64">
        <f>T27/H16</f>
        <v>23776.597635923288</v>
      </c>
      <c r="W29" s="65" t="s">
        <v>56</v>
      </c>
      <c r="X29" s="66">
        <f>V29-I13</f>
        <v>7776.5976359232882</v>
      </c>
    </row>
    <row r="30" spans="1:26" ht="15.75" thickBot="1" x14ac:dyDescent="0.3">
      <c r="A30" s="1"/>
      <c r="C30" s="2"/>
      <c r="D30" s="2"/>
      <c r="E30" s="60"/>
      <c r="F30" s="62"/>
      <c r="G30" s="60"/>
      <c r="P30"/>
      <c r="Q30"/>
      <c r="U30" s="67" t="s">
        <v>57</v>
      </c>
      <c r="V30" s="68">
        <f>($K$13-V29)/K13</f>
        <v>9.3084318365296587E-3</v>
      </c>
      <c r="W30" s="69" t="s">
        <v>57</v>
      </c>
      <c r="X30" s="70">
        <f>(X29-O13)/O13</f>
        <v>-2.7925295509588978E-2</v>
      </c>
    </row>
    <row r="31" spans="1:26" x14ac:dyDescent="0.25">
      <c r="A31" s="1"/>
      <c r="C31" s="2"/>
      <c r="D31" s="2"/>
      <c r="E31" s="60"/>
      <c r="F31" s="60"/>
      <c r="G31" s="60"/>
      <c r="P31"/>
      <c r="Q31"/>
    </row>
    <row r="32" spans="1:26" x14ac:dyDescent="0.25">
      <c r="A32" s="1"/>
      <c r="C32" s="2"/>
      <c r="D32" s="2"/>
      <c r="E32" s="60"/>
      <c r="F32" s="60"/>
      <c r="G32" s="60"/>
      <c r="P32"/>
      <c r="Q32"/>
    </row>
    <row r="33" spans="1:19" x14ac:dyDescent="0.25">
      <c r="A33" s="1"/>
      <c r="C33" s="2"/>
      <c r="D33" s="2"/>
      <c r="E33" s="60"/>
      <c r="F33" s="60"/>
      <c r="G33" s="60"/>
      <c r="P33"/>
      <c r="Q33"/>
    </row>
    <row r="34" spans="1:19" x14ac:dyDescent="0.25">
      <c r="A34" s="1"/>
      <c r="C34" s="2"/>
      <c r="D34" s="2"/>
      <c r="P34"/>
      <c r="Q34"/>
    </row>
    <row r="35" spans="1:19" x14ac:dyDescent="0.25">
      <c r="A35" s="1"/>
      <c r="C35" s="2"/>
      <c r="D35" s="2"/>
      <c r="P35"/>
      <c r="Q35"/>
    </row>
    <row r="36" spans="1:19" x14ac:dyDescent="0.25">
      <c r="A36" s="1"/>
      <c r="C36" s="2"/>
      <c r="D36" s="2"/>
      <c r="P36"/>
      <c r="Q36"/>
    </row>
    <row r="37" spans="1:19" x14ac:dyDescent="0.25">
      <c r="A37" s="1"/>
      <c r="C37" s="2"/>
      <c r="D37" s="2"/>
      <c r="P37"/>
      <c r="Q37"/>
    </row>
    <row r="38" spans="1:19" x14ac:dyDescent="0.25">
      <c r="A38" s="1"/>
      <c r="C38" s="2"/>
      <c r="D38" s="2"/>
      <c r="P38"/>
      <c r="Q38"/>
    </row>
    <row r="39" spans="1:19" x14ac:dyDescent="0.25">
      <c r="A39" s="1"/>
      <c r="C39" s="2"/>
      <c r="D39" s="2"/>
      <c r="P39"/>
      <c r="Q39"/>
    </row>
    <row r="40" spans="1:19" x14ac:dyDescent="0.25">
      <c r="A40" s="1"/>
      <c r="C40" s="2"/>
      <c r="D40" s="2"/>
      <c r="P40"/>
      <c r="Q40"/>
    </row>
    <row r="41" spans="1:19" x14ac:dyDescent="0.25">
      <c r="A41" s="1"/>
      <c r="C41" s="2"/>
      <c r="D41" s="2"/>
      <c r="P41"/>
      <c r="Q41"/>
    </row>
    <row r="42" spans="1:19" x14ac:dyDescent="0.25">
      <c r="A42" s="1"/>
      <c r="C42" s="2"/>
      <c r="D42" s="2"/>
      <c r="P42"/>
      <c r="Q42"/>
    </row>
    <row r="43" spans="1:19" x14ac:dyDescent="0.25">
      <c r="A43" s="1"/>
      <c r="C43" s="2"/>
      <c r="D43" s="2"/>
      <c r="P43"/>
      <c r="Q43"/>
    </row>
    <row r="44" spans="1:19" x14ac:dyDescent="0.25">
      <c r="A44" s="1"/>
      <c r="C44" s="2"/>
      <c r="D44" s="2"/>
      <c r="P44"/>
      <c r="Q44"/>
    </row>
    <row r="45" spans="1:19" x14ac:dyDescent="0.25">
      <c r="A45" s="1"/>
      <c r="C45" s="2"/>
      <c r="D45" s="2"/>
      <c r="P45"/>
      <c r="Q45"/>
    </row>
    <row r="46" spans="1:19" x14ac:dyDescent="0.25">
      <c r="A46" s="1"/>
      <c r="C46" s="2"/>
      <c r="D46" s="2"/>
      <c r="P46"/>
      <c r="Q46"/>
    </row>
    <row r="47" spans="1:19" ht="17.25" x14ac:dyDescent="0.25">
      <c r="A47" s="1"/>
      <c r="C47" s="2"/>
      <c r="D47" s="2"/>
      <c r="E47" t="s">
        <v>58</v>
      </c>
      <c r="F47" s="71">
        <f>(CORREL(J17:J27,Y17:Y27))^2</f>
        <v>0.9997643797575384</v>
      </c>
      <c r="L47" s="72" t="s">
        <v>59</v>
      </c>
      <c r="M47" s="73">
        <f>(CORREL(U17:U27,J17:J27))^2</f>
        <v>0.99976437975753951</v>
      </c>
      <c r="P47"/>
      <c r="Q47"/>
      <c r="R47" t="s">
        <v>59</v>
      </c>
      <c r="S47">
        <f>(CORREL(W17:W27,K17:K27))^2</f>
        <v>0.88716217584753609</v>
      </c>
    </row>
    <row r="48" spans="1:19" x14ac:dyDescent="0.25">
      <c r="A48" s="1"/>
      <c r="C48" s="2"/>
      <c r="D48" s="2"/>
      <c r="E48" t="s">
        <v>60</v>
      </c>
      <c r="F48" s="71">
        <f>SLOPE(Y17:Y27,J17:J27)</f>
        <v>2.9692852816918353E-9</v>
      </c>
      <c r="L48" s="72" t="s">
        <v>60</v>
      </c>
      <c r="M48" s="74">
        <f>SLOPE(U17:U27,J17:J27)</f>
        <v>2.9692852816918359E-4</v>
      </c>
      <c r="P48"/>
      <c r="Q48"/>
      <c r="R48" t="s">
        <v>60</v>
      </c>
      <c r="S48" s="75">
        <f>SLOPE(W17:W27,K17:K27)</f>
        <v>0.51471315854664623</v>
      </c>
    </row>
    <row r="49" spans="1:22" x14ac:dyDescent="0.25">
      <c r="A49" s="1"/>
      <c r="C49" s="2"/>
      <c r="D49" s="2"/>
      <c r="E49" t="s">
        <v>61</v>
      </c>
      <c r="F49" s="76">
        <f>INTERCEPT(Y17:Y27,J17:J27)</f>
        <v>1.0408700964290713E-4</v>
      </c>
      <c r="L49" s="72" t="s">
        <v>61</v>
      </c>
      <c r="M49" s="74">
        <f>INTERCEPT(U17:U27,J17:J27)</f>
        <v>10.408700964290702</v>
      </c>
      <c r="P49"/>
      <c r="Q49"/>
      <c r="R49" t="s">
        <v>61</v>
      </c>
      <c r="S49" s="75">
        <f>INTERCEPT(W17:W27,K17:K27)</f>
        <v>1.967928802992204</v>
      </c>
    </row>
    <row r="50" spans="1:22" ht="15.75" thickBot="1" x14ac:dyDescent="0.3">
      <c r="A50" s="1"/>
      <c r="C50" s="2"/>
      <c r="D50" s="2"/>
      <c r="E50" s="77"/>
      <c r="F50" s="77"/>
      <c r="L50" s="72"/>
      <c r="M50" s="73"/>
      <c r="P50"/>
      <c r="Q50"/>
    </row>
    <row r="51" spans="1:22" x14ac:dyDescent="0.25">
      <c r="A51" s="1"/>
      <c r="C51" s="2"/>
      <c r="D51" s="2"/>
      <c r="E51" s="78" t="s">
        <v>11</v>
      </c>
      <c r="F51" s="79">
        <f>F49/F48</f>
        <v>35054.566930531029</v>
      </c>
      <c r="L51" s="78" t="s">
        <v>11</v>
      </c>
      <c r="M51" s="79">
        <f>1/(H16*(M52-I13)*M48)</f>
        <v>35054.566930530978</v>
      </c>
      <c r="P51"/>
      <c r="Q51"/>
      <c r="R51" s="80" t="s">
        <v>11</v>
      </c>
      <c r="S51" s="81">
        <f>10^S49</f>
        <v>92.881410714304906</v>
      </c>
    </row>
    <row r="52" spans="1:22" ht="18.75" thickBot="1" x14ac:dyDescent="0.4">
      <c r="A52" s="1"/>
      <c r="C52" s="2"/>
      <c r="D52" s="2"/>
      <c r="E52" s="82" t="s">
        <v>62</v>
      </c>
      <c r="F52" s="83">
        <f>(1+(F49*I13))/F49</f>
        <v>25607.346809469454</v>
      </c>
      <c r="L52" s="82" t="s">
        <v>63</v>
      </c>
      <c r="M52" s="83">
        <f>((1/M49)+(I13*H16))/H16</f>
        <v>25607.346809469465</v>
      </c>
      <c r="P52"/>
      <c r="Q52"/>
      <c r="R52" s="84" t="s">
        <v>64</v>
      </c>
      <c r="S52" s="70">
        <f>(S51-M13)/M13</f>
        <v>-0.9986918111166998</v>
      </c>
    </row>
    <row r="53" spans="1:22" ht="15.75" thickBot="1" x14ac:dyDescent="0.3">
      <c r="A53" s="1"/>
      <c r="C53" s="2"/>
      <c r="D53" s="2"/>
      <c r="E53" s="84" t="s">
        <v>64</v>
      </c>
      <c r="F53" s="85">
        <f>(M13-F51)/M13</f>
        <v>0.50627370520378834</v>
      </c>
      <c r="L53" s="84" t="s">
        <v>64</v>
      </c>
      <c r="M53" s="85">
        <f>(M13-M51)/M13</f>
        <v>0.506273705203789</v>
      </c>
      <c r="P53"/>
      <c r="Q53"/>
    </row>
    <row r="54" spans="1:22" x14ac:dyDescent="0.25">
      <c r="A54" s="1"/>
      <c r="C54" s="2"/>
      <c r="D54" s="2"/>
      <c r="L54" s="61"/>
      <c r="M54" s="86"/>
      <c r="P54"/>
      <c r="Q54"/>
    </row>
    <row r="55" spans="1:22" x14ac:dyDescent="0.25">
      <c r="A55" s="1"/>
      <c r="C55" s="2"/>
      <c r="D55" s="2"/>
      <c r="L55" s="61"/>
      <c r="M55" s="87"/>
      <c r="P55"/>
      <c r="Q55"/>
    </row>
    <row r="56" spans="1:22" x14ac:dyDescent="0.25">
      <c r="A56" s="1"/>
      <c r="C56" s="2"/>
      <c r="D56" s="2"/>
      <c r="L56" s="61"/>
      <c r="M56" s="61"/>
      <c r="P56"/>
      <c r="Q56"/>
    </row>
    <row r="57" spans="1:22" ht="15.75" thickBot="1" x14ac:dyDescent="0.3">
      <c r="A57" s="1"/>
      <c r="C57" s="2"/>
      <c r="D57" s="2"/>
      <c r="L57" s="61"/>
      <c r="M57" s="61"/>
      <c r="P57"/>
      <c r="Q57"/>
    </row>
    <row r="58" spans="1:22" ht="18" x14ac:dyDescent="0.35">
      <c r="A58" s="1"/>
      <c r="C58" s="2"/>
      <c r="D58" s="2"/>
      <c r="L58" s="61"/>
      <c r="M58" s="61"/>
      <c r="O58" s="88" t="s">
        <v>65</v>
      </c>
      <c r="P58" s="89" t="s">
        <v>66</v>
      </c>
      <c r="Q58" s="89" t="s">
        <v>67</v>
      </c>
      <c r="R58" s="89" t="s">
        <v>68</v>
      </c>
      <c r="S58" s="89" t="s">
        <v>69</v>
      </c>
      <c r="T58" s="89" t="s">
        <v>70</v>
      </c>
      <c r="U58" s="90" t="s">
        <v>71</v>
      </c>
      <c r="V58" s="91" t="s">
        <v>72</v>
      </c>
    </row>
    <row r="59" spans="1:22" x14ac:dyDescent="0.25">
      <c r="A59" s="1"/>
      <c r="C59" s="2"/>
      <c r="D59" s="2"/>
      <c r="O59" s="92">
        <f t="shared" ref="O59:O70" si="19">H16+I16</f>
        <v>1.0000000000000001E-5</v>
      </c>
      <c r="P59" s="93">
        <f t="shared" ref="P59:P70" si="20">P16+Q16+2*R16</f>
        <v>1.0000000000000001E-5</v>
      </c>
      <c r="Q59" s="93">
        <f t="shared" ref="Q59:Q70" si="21">P16+Q16+R16</f>
        <v>1.0000000000000001E-5</v>
      </c>
      <c r="R59" s="93">
        <f t="shared" ref="R59:R70" si="22">P16/Q59</f>
        <v>1</v>
      </c>
      <c r="S59" s="93">
        <f t="shared" ref="S59:S70" si="23">Q16/Q59</f>
        <v>0</v>
      </c>
      <c r="T59" s="93">
        <f t="shared" ref="T59:T70" si="24">R16/Q59</f>
        <v>0</v>
      </c>
      <c r="U59" s="93">
        <f t="shared" ref="U59:U70" si="25">R16/$H$16</f>
        <v>0</v>
      </c>
      <c r="V59" s="94">
        <f t="shared" ref="V59:V70" si="26">P16/$H$16</f>
        <v>1</v>
      </c>
    </row>
    <row r="60" spans="1:22" x14ac:dyDescent="0.25">
      <c r="A60" s="1"/>
      <c r="C60" s="2"/>
      <c r="D60" s="2"/>
      <c r="O60" s="92">
        <f t="shared" si="19"/>
        <v>1.1000000000000001E-5</v>
      </c>
      <c r="P60" s="93">
        <f t="shared" si="20"/>
        <v>1.1000000000000001E-5</v>
      </c>
      <c r="Q60" s="93">
        <f t="shared" si="21"/>
        <v>1.0594802274584843E-5</v>
      </c>
      <c r="R60" s="93">
        <f t="shared" si="22"/>
        <v>0.90561409509275759</v>
      </c>
      <c r="S60" s="93">
        <f t="shared" si="23"/>
        <v>5.6140950927576386E-2</v>
      </c>
      <c r="T60" s="93">
        <f t="shared" si="24"/>
        <v>3.8244953979665985E-2</v>
      </c>
      <c r="U60" s="93">
        <f t="shared" si="25"/>
        <v>4.0519772541515779E-2</v>
      </c>
      <c r="V60" s="94">
        <f t="shared" si="26"/>
        <v>0.95948022745848416</v>
      </c>
    </row>
    <row r="61" spans="1:22" x14ac:dyDescent="0.25">
      <c r="A61" s="1"/>
      <c r="C61" s="2"/>
      <c r="D61" s="2"/>
      <c r="O61" s="92">
        <f t="shared" si="19"/>
        <v>1.2500000000000001E-5</v>
      </c>
      <c r="P61" s="93">
        <f t="shared" si="20"/>
        <v>1.2500000000000001E-5</v>
      </c>
      <c r="Q61" s="93">
        <f t="shared" si="21"/>
        <v>1.1523752473915088E-5</v>
      </c>
      <c r="R61" s="93">
        <f t="shared" si="22"/>
        <v>0.78305677723823519</v>
      </c>
      <c r="S61" s="93">
        <f t="shared" si="23"/>
        <v>0.13222710895294049</v>
      </c>
      <c r="T61" s="93">
        <f t="shared" si="24"/>
        <v>8.4716113808824406E-2</v>
      </c>
      <c r="U61" s="93">
        <f t="shared" si="25"/>
        <v>9.7624752608491239E-2</v>
      </c>
      <c r="V61" s="94">
        <f t="shared" si="26"/>
        <v>0.90237524739150876</v>
      </c>
    </row>
    <row r="62" spans="1:22" x14ac:dyDescent="0.25">
      <c r="A62" s="1"/>
      <c r="C62" s="2"/>
      <c r="D62" s="2"/>
      <c r="O62" s="92">
        <f t="shared" si="19"/>
        <v>1.5000000000000002E-5</v>
      </c>
      <c r="P62" s="93">
        <f t="shared" si="20"/>
        <v>1.5000000000000002E-5</v>
      </c>
      <c r="Q62" s="93">
        <f t="shared" si="21"/>
        <v>1.3165111960070499E-5</v>
      </c>
      <c r="R62" s="93">
        <f t="shared" si="22"/>
        <v>0.6202083191419191</v>
      </c>
      <c r="S62" s="93">
        <f t="shared" si="23"/>
        <v>0.24041663828383797</v>
      </c>
      <c r="T62" s="93">
        <f t="shared" si="24"/>
        <v>0.13937504257424302</v>
      </c>
      <c r="U62" s="93">
        <f t="shared" si="25"/>
        <v>0.18348880399295017</v>
      </c>
      <c r="V62" s="94">
        <f t="shared" si="26"/>
        <v>0.81651119600704991</v>
      </c>
    </row>
    <row r="63" spans="1:22" x14ac:dyDescent="0.25">
      <c r="C63" s="2"/>
      <c r="D63" s="2"/>
      <c r="O63" s="92">
        <f t="shared" si="19"/>
        <v>1.7500000000000002E-5</v>
      </c>
      <c r="P63" s="93">
        <f t="shared" si="20"/>
        <v>1.7500000000000002E-5</v>
      </c>
      <c r="Q63" s="93">
        <f t="shared" si="21"/>
        <v>1.4913626656867457E-5</v>
      </c>
      <c r="R63" s="93">
        <f t="shared" si="22"/>
        <v>0.49710421398095106</v>
      </c>
      <c r="S63" s="93">
        <f t="shared" si="23"/>
        <v>0.32947228530793476</v>
      </c>
      <c r="T63" s="93">
        <f t="shared" si="24"/>
        <v>0.17342350071111415</v>
      </c>
      <c r="U63" s="93">
        <f t="shared" si="25"/>
        <v>0.25863733431325442</v>
      </c>
      <c r="V63" s="94">
        <f t="shared" si="26"/>
        <v>0.74136266568674558</v>
      </c>
    </row>
    <row r="64" spans="1:22" x14ac:dyDescent="0.25">
      <c r="C64" s="2"/>
      <c r="D64" s="2"/>
      <c r="O64" s="92">
        <f t="shared" si="19"/>
        <v>2.0000000000000002E-5</v>
      </c>
      <c r="P64" s="93">
        <f t="shared" si="20"/>
        <v>2.0000000000000002E-5</v>
      </c>
      <c r="Q64" s="93">
        <f t="shared" si="21"/>
        <v>1.6757688691736217E-5</v>
      </c>
      <c r="R64" s="93">
        <f t="shared" si="22"/>
        <v>0.4032589944858363</v>
      </c>
      <c r="S64" s="93">
        <f t="shared" si="23"/>
        <v>0.4032589944858363</v>
      </c>
      <c r="T64" s="93">
        <f t="shared" si="24"/>
        <v>0.19348201102832749</v>
      </c>
      <c r="U64" s="93">
        <f t="shared" si="25"/>
        <v>0.3242311308263785</v>
      </c>
      <c r="V64" s="94">
        <f t="shared" si="26"/>
        <v>0.67576886917362156</v>
      </c>
    </row>
    <row r="65" spans="2:2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92">
        <f t="shared" si="19"/>
        <v>3.5000000000000004E-5</v>
      </c>
      <c r="P65" s="93">
        <f t="shared" si="20"/>
        <v>3.5000000000000004E-5</v>
      </c>
      <c r="Q65" s="93">
        <f t="shared" si="21"/>
        <v>2.9227994423300052E-5</v>
      </c>
      <c r="R65" s="93">
        <f t="shared" si="22"/>
        <v>0.1446556462981109</v>
      </c>
      <c r="S65" s="93">
        <f t="shared" si="23"/>
        <v>0.65786225851924429</v>
      </c>
      <c r="T65" s="93">
        <f t="shared" si="24"/>
        <v>0.19748209518264473</v>
      </c>
      <c r="U65" s="93">
        <f t="shared" si="25"/>
        <v>0.57720055766999501</v>
      </c>
      <c r="V65" s="94">
        <f t="shared" si="26"/>
        <v>0.42279944233000499</v>
      </c>
    </row>
    <row r="66" spans="2:2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92">
        <f t="shared" si="19"/>
        <v>6.0000000000000002E-5</v>
      </c>
      <c r="P66" s="93">
        <f t="shared" si="20"/>
        <v>6.0000000000000002E-5</v>
      </c>
      <c r="Q66" s="93">
        <f t="shared" si="21"/>
        <v>5.2489569076258385E-5</v>
      </c>
      <c r="R66" s="93">
        <f t="shared" si="22"/>
        <v>4.7429786909499408E-2</v>
      </c>
      <c r="S66" s="93">
        <f t="shared" si="23"/>
        <v>0.80948595738189988</v>
      </c>
      <c r="T66" s="93">
        <f t="shared" si="24"/>
        <v>0.14308425570860073</v>
      </c>
      <c r="U66" s="93">
        <f t="shared" si="25"/>
        <v>0.75104309237416156</v>
      </c>
      <c r="V66" s="94">
        <f t="shared" si="26"/>
        <v>0.24895690762583847</v>
      </c>
    </row>
    <row r="67" spans="2:2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92">
        <f t="shared" si="19"/>
        <v>8.5000000000000006E-5</v>
      </c>
      <c r="P67" s="93">
        <f t="shared" si="20"/>
        <v>8.5000000000000006E-5</v>
      </c>
      <c r="Q67" s="93">
        <f t="shared" si="21"/>
        <v>7.6742548573004654E-5</v>
      </c>
      <c r="R67" s="93">
        <f t="shared" si="22"/>
        <v>2.2706420433079189E-2</v>
      </c>
      <c r="S67" s="93">
        <f t="shared" si="23"/>
        <v>0.86969418939107723</v>
      </c>
      <c r="T67" s="93">
        <f t="shared" si="24"/>
        <v>0.10759939017584358</v>
      </c>
      <c r="U67" s="93">
        <f t="shared" si="25"/>
        <v>0.82574514269953547</v>
      </c>
      <c r="V67" s="94">
        <f t="shared" si="26"/>
        <v>0.17425485730046447</v>
      </c>
    </row>
    <row r="68" spans="2:2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92">
        <f t="shared" si="19"/>
        <v>1.1E-4</v>
      </c>
      <c r="P68" s="93">
        <f t="shared" si="20"/>
        <v>1.1E-4</v>
      </c>
      <c r="Q68" s="93">
        <f t="shared" si="21"/>
        <v>1.0133603065867585E-4</v>
      </c>
      <c r="R68" s="93">
        <f t="shared" si="22"/>
        <v>1.3184162138498622E-2</v>
      </c>
      <c r="S68" s="93">
        <f t="shared" si="23"/>
        <v>0.90131841621384989</v>
      </c>
      <c r="T68" s="93">
        <f t="shared" si="24"/>
        <v>8.549742164765152E-2</v>
      </c>
      <c r="U68" s="93">
        <f t="shared" si="25"/>
        <v>0.86639693413241503</v>
      </c>
      <c r="V68" s="94">
        <f t="shared" si="26"/>
        <v>0.13360306586758497</v>
      </c>
    </row>
    <row r="69" spans="2:2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92">
        <f t="shared" si="19"/>
        <v>2.1000000000000001E-4</v>
      </c>
      <c r="P69" s="93">
        <f t="shared" si="20"/>
        <v>2.1000000000000001E-4</v>
      </c>
      <c r="Q69" s="93">
        <f t="shared" si="21"/>
        <v>2.0068781303240199E-4</v>
      </c>
      <c r="R69" s="93">
        <f t="shared" si="22"/>
        <v>3.427278527824317E-3</v>
      </c>
      <c r="S69" s="93">
        <f t="shared" si="23"/>
        <v>0.95017136392639112</v>
      </c>
      <c r="T69" s="93">
        <f t="shared" si="24"/>
        <v>4.6401357545784463E-2</v>
      </c>
      <c r="U69" s="93">
        <f t="shared" si="25"/>
        <v>0.93121869675980273</v>
      </c>
      <c r="V69" s="94">
        <f t="shared" si="26"/>
        <v>6.8781303240197239E-2</v>
      </c>
    </row>
    <row r="70" spans="2:22" ht="15.75" thickBot="1" x14ac:dyDescent="0.3">
      <c r="O70" s="95">
        <f t="shared" si="19"/>
        <v>5.1000000000000004E-4</v>
      </c>
      <c r="P70" s="96">
        <f t="shared" si="20"/>
        <v>5.1000000000000004E-4</v>
      </c>
      <c r="Q70" s="96">
        <f t="shared" si="21"/>
        <v>5.0027925295509585E-4</v>
      </c>
      <c r="R70" s="96">
        <f t="shared" si="22"/>
        <v>5.5819415545691733E-4</v>
      </c>
      <c r="S70" s="96">
        <f t="shared" si="23"/>
        <v>0.98001116388310927</v>
      </c>
      <c r="T70" s="96">
        <f t="shared" si="24"/>
        <v>1.9430641961433948E-2</v>
      </c>
      <c r="U70" s="96">
        <f t="shared" si="25"/>
        <v>0.97207470449041122</v>
      </c>
      <c r="V70" s="97">
        <f t="shared" si="26"/>
        <v>2.7925295509588721E-2</v>
      </c>
    </row>
    <row r="71" spans="2:22" x14ac:dyDescent="0.25">
      <c r="O71" s="9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8"/>
  <sheetViews>
    <sheetView tabSelected="1" zoomScale="75" zoomScaleNormal="75" workbookViewId="0">
      <selection activeCell="D5" sqref="D5"/>
    </sheetView>
  </sheetViews>
  <sheetFormatPr baseColWidth="10" defaultRowHeight="15" x14ac:dyDescent="0.25"/>
  <cols>
    <col min="2" max="2" width="14.85546875" style="2" customWidth="1"/>
    <col min="3" max="3" width="15.7109375" style="2" customWidth="1"/>
    <col min="4" max="4" width="16.5703125" style="2" customWidth="1"/>
    <col min="5" max="5" width="19.7109375" style="2" customWidth="1"/>
    <col min="9" max="9" width="16.42578125" customWidth="1"/>
    <col min="10" max="10" width="17.7109375" customWidth="1"/>
    <col min="11" max="11" width="12.85546875" customWidth="1"/>
    <col min="12" max="12" width="14" customWidth="1"/>
    <col min="13" max="13" width="12.5703125" customWidth="1"/>
    <col min="14" max="14" width="15.28515625" style="2" customWidth="1"/>
    <col min="15" max="15" width="13.28515625" style="2" customWidth="1"/>
  </cols>
  <sheetData>
    <row r="2" spans="2:22" ht="15.75" thickBot="1" x14ac:dyDescent="0.3"/>
    <row r="3" spans="2:22" x14ac:dyDescent="0.25">
      <c r="B3" s="99" t="s">
        <v>73</v>
      </c>
      <c r="C3" s="100" t="s">
        <v>152</v>
      </c>
    </row>
    <row r="4" spans="2:22" x14ac:dyDescent="0.25">
      <c r="B4" s="101" t="str">
        <f>"MW "&amp;C3</f>
        <v>MW AAN219</v>
      </c>
      <c r="C4" s="102">
        <v>1030.6400000000001</v>
      </c>
    </row>
    <row r="5" spans="2:22" x14ac:dyDescent="0.25">
      <c r="B5" s="101" t="s">
        <v>74</v>
      </c>
      <c r="C5" s="102" t="s">
        <v>75</v>
      </c>
    </row>
    <row r="6" spans="2:22" x14ac:dyDescent="0.25">
      <c r="B6" s="101" t="str">
        <f>"MW "&amp;C5</f>
        <v>MW Ba(ClO4)2</v>
      </c>
      <c r="C6" s="102">
        <v>336.22800000000001</v>
      </c>
    </row>
    <row r="7" spans="2:22" ht="15.75" thickBot="1" x14ac:dyDescent="0.3">
      <c r="B7" s="101" t="str">
        <f>"["&amp;C3&amp;"]0"</f>
        <v>[AAN219]0</v>
      </c>
      <c r="C7" s="103">
        <v>1.0000000000000001E-5</v>
      </c>
      <c r="F7" t="s">
        <v>76</v>
      </c>
      <c r="K7" s="9" t="s">
        <v>77</v>
      </c>
      <c r="N7"/>
      <c r="P7" s="2"/>
    </row>
    <row r="8" spans="2:22" ht="15.75" thickBot="1" x14ac:dyDescent="0.3">
      <c r="B8" s="104" t="str">
        <f>"Vt "&amp;C3&amp;" (mL)"</f>
        <v>Vt AAN219 (mL)</v>
      </c>
      <c r="C8" s="105">
        <v>2.5</v>
      </c>
      <c r="F8" s="275" t="s">
        <v>78</v>
      </c>
      <c r="G8" s="276"/>
      <c r="H8" s="276"/>
      <c r="I8" s="276"/>
      <c r="J8" s="277"/>
      <c r="K8" s="106" t="s">
        <v>79</v>
      </c>
      <c r="L8" s="107"/>
      <c r="M8" s="107"/>
      <c r="N8" s="108"/>
      <c r="P8" s="2"/>
      <c r="Q8" s="109" t="s">
        <v>80</v>
      </c>
      <c r="R8" s="110"/>
      <c r="S8" s="110"/>
      <c r="T8" s="110"/>
      <c r="U8" s="110"/>
      <c r="V8" s="111"/>
    </row>
    <row r="9" spans="2:22" ht="15.75" thickBot="1" x14ac:dyDescent="0.3">
      <c r="B9" s="2" t="str">
        <f>"mmol "&amp;C3</f>
        <v>mmol AAN219</v>
      </c>
      <c r="C9" s="112">
        <f>C7*C8</f>
        <v>2.5000000000000001E-5</v>
      </c>
      <c r="F9" s="113" t="s">
        <v>81</v>
      </c>
      <c r="G9" s="114" t="s">
        <v>81</v>
      </c>
      <c r="H9" s="115" t="s">
        <v>81</v>
      </c>
      <c r="I9" s="114" t="s">
        <v>81</v>
      </c>
      <c r="J9" s="116" t="s">
        <v>82</v>
      </c>
      <c r="K9" s="113" t="s">
        <v>83</v>
      </c>
      <c r="L9" s="117" t="s">
        <v>83</v>
      </c>
      <c r="M9" s="117" t="s">
        <v>83</v>
      </c>
      <c r="N9" s="118"/>
      <c r="O9" s="119" t="s">
        <v>84</v>
      </c>
      <c r="P9" s="2"/>
      <c r="Q9" s="120" t="s">
        <v>85</v>
      </c>
      <c r="R9" s="121"/>
      <c r="S9" s="29"/>
      <c r="T9" s="122"/>
      <c r="U9" s="123" t="s">
        <v>86</v>
      </c>
      <c r="V9" s="124"/>
    </row>
    <row r="10" spans="2:22" ht="15.75" thickBot="1" x14ac:dyDescent="0.3">
      <c r="F10" s="125" t="s">
        <v>87</v>
      </c>
      <c r="G10" s="125" t="s">
        <v>88</v>
      </c>
      <c r="H10" s="125" t="s">
        <v>89</v>
      </c>
      <c r="I10" s="126" t="s">
        <v>90</v>
      </c>
      <c r="J10" s="127" t="str">
        <f>"mg of "&amp;C5</f>
        <v>mg of Ba(ClO4)2</v>
      </c>
      <c r="K10" s="88" t="str">
        <f t="shared" ref="K10:N11" si="0">F10</f>
        <v>STOCK1</v>
      </c>
      <c r="L10" s="89" t="str">
        <f t="shared" si="0"/>
        <v>STOCK2</v>
      </c>
      <c r="M10" s="89" t="str">
        <f t="shared" si="0"/>
        <v>STOCK3</v>
      </c>
      <c r="N10" s="89" t="str">
        <f t="shared" si="0"/>
        <v>STOCK 0</v>
      </c>
      <c r="O10" s="128" t="str">
        <f>"mg of "&amp;G5</f>
        <v xml:space="preserve">mg of </v>
      </c>
      <c r="P10" s="125" t="s">
        <v>91</v>
      </c>
      <c r="Q10" s="129" t="s">
        <v>16</v>
      </c>
      <c r="R10" s="130" t="s">
        <v>38</v>
      </c>
      <c r="S10" s="131" t="s">
        <v>92</v>
      </c>
      <c r="T10" s="129" t="s">
        <v>16</v>
      </c>
      <c r="U10" s="130" t="s">
        <v>38</v>
      </c>
      <c r="V10" s="131" t="s">
        <v>92</v>
      </c>
    </row>
    <row r="11" spans="2:22" s="143" customFormat="1" x14ac:dyDescent="0.25">
      <c r="B11" s="88" t="s">
        <v>93</v>
      </c>
      <c r="C11" s="89" t="str">
        <f>"equiv."&amp;C5&amp;""</f>
        <v>equiv.Ba(ClO4)2</v>
      </c>
      <c r="D11" s="89" t="str">
        <f>"["&amp;C5&amp;"]"</f>
        <v>[Ba(ClO4)2]</v>
      </c>
      <c r="E11" s="128" t="str">
        <f>"mmol "&amp;C5</f>
        <v>mmol Ba(ClO4)2</v>
      </c>
      <c r="F11" s="132">
        <v>1E-4</v>
      </c>
      <c r="G11" s="132">
        <v>1E-3</v>
      </c>
      <c r="H11" s="132">
        <v>0.01</v>
      </c>
      <c r="I11" s="132">
        <v>0.1</v>
      </c>
      <c r="J11" s="133"/>
      <c r="K11" s="134">
        <f t="shared" si="0"/>
        <v>1E-4</v>
      </c>
      <c r="L11" s="135">
        <f t="shared" si="0"/>
        <v>1E-3</v>
      </c>
      <c r="M11" s="136">
        <f t="shared" si="0"/>
        <v>0.01</v>
      </c>
      <c r="N11" s="136">
        <f t="shared" si="0"/>
        <v>0.1</v>
      </c>
      <c r="O11" s="137"/>
      <c r="P11" s="138" t="s">
        <v>94</v>
      </c>
      <c r="Q11" s="139" t="s">
        <v>95</v>
      </c>
      <c r="R11" s="140" t="s">
        <v>95</v>
      </c>
      <c r="S11" s="141"/>
      <c r="T11" s="142"/>
      <c r="U11" s="140" t="s">
        <v>95</v>
      </c>
      <c r="V11" s="141"/>
    </row>
    <row r="12" spans="2:22" x14ac:dyDescent="0.25">
      <c r="B12" s="144">
        <v>0</v>
      </c>
      <c r="C12" s="145">
        <v>0</v>
      </c>
      <c r="D12" s="146">
        <f t="shared" ref="D12:D23" si="1">$C$7*C12</f>
        <v>0</v>
      </c>
      <c r="E12" s="147">
        <f t="shared" ref="E12:E23" si="2">D12*$C$8</f>
        <v>0</v>
      </c>
      <c r="F12" s="148">
        <f t="shared" ref="F12:F23" si="3">E12*1000/$F$11</f>
        <v>0</v>
      </c>
      <c r="G12" s="149">
        <f>E12*1000000/$G$11</f>
        <v>0</v>
      </c>
      <c r="H12" s="148">
        <f t="shared" ref="H12:H23" si="4">E12*1000/$H$11</f>
        <v>0</v>
      </c>
      <c r="I12" s="148">
        <f t="shared" ref="I12:I23" si="5">E12*1000/$I$11</f>
        <v>0</v>
      </c>
      <c r="J12" s="150">
        <f t="shared" ref="J12:J23" si="6">E12*$C$6</f>
        <v>0</v>
      </c>
      <c r="K12" s="151">
        <f>J12*1000000/$F$11</f>
        <v>0</v>
      </c>
      <c r="L12" s="152"/>
      <c r="M12" s="152"/>
      <c r="N12" s="152"/>
      <c r="O12" s="153"/>
      <c r="P12" s="154">
        <f>$C$8+((K12+L12+M12)/1000)</f>
        <v>2.5</v>
      </c>
      <c r="Q12" s="155">
        <f t="shared" ref="Q12:Q23" si="7">$C$7*$C$8/P12</f>
        <v>1.0000000000000001E-5</v>
      </c>
      <c r="R12" s="156">
        <f t="shared" ref="R12:R23" si="8">E12/P12</f>
        <v>0</v>
      </c>
      <c r="S12" s="157">
        <f t="shared" ref="S12:S23" si="9">R12/Q12</f>
        <v>0</v>
      </c>
      <c r="T12" s="158">
        <f t="shared" ref="T12:T23" si="10">$C$7</f>
        <v>1.0000000000000001E-5</v>
      </c>
      <c r="U12" s="159">
        <f t="shared" ref="U12:U23" si="11">E12/P12</f>
        <v>0</v>
      </c>
      <c r="V12" s="160">
        <f t="shared" ref="V12:V23" si="12">U12/$C$7</f>
        <v>0</v>
      </c>
    </row>
    <row r="13" spans="2:22" x14ac:dyDescent="0.25">
      <c r="B13" s="144">
        <v>1</v>
      </c>
      <c r="C13" s="145">
        <v>0.1</v>
      </c>
      <c r="D13" s="146">
        <f t="shared" si="1"/>
        <v>1.0000000000000002E-6</v>
      </c>
      <c r="E13" s="147">
        <f t="shared" si="2"/>
        <v>2.5000000000000006E-6</v>
      </c>
      <c r="F13" s="148">
        <f t="shared" si="3"/>
        <v>25.000000000000004</v>
      </c>
      <c r="G13" s="148">
        <f t="shared" ref="G13:G23" si="13">E13*1000/$G$11</f>
        <v>2.5000000000000004</v>
      </c>
      <c r="H13" s="148">
        <f t="shared" si="4"/>
        <v>0.25000000000000006</v>
      </c>
      <c r="I13" s="148">
        <f t="shared" si="5"/>
        <v>2.5000000000000005E-2</v>
      </c>
      <c r="J13" s="150">
        <f t="shared" si="6"/>
        <v>8.4057000000000023E-4</v>
      </c>
      <c r="K13" s="151">
        <f>(E13-E12)*1000/$F$11</f>
        <v>25.000000000000004</v>
      </c>
      <c r="L13" s="152"/>
      <c r="M13" s="152"/>
      <c r="N13" s="152"/>
      <c r="O13" s="153"/>
      <c r="P13" s="154">
        <f t="shared" ref="P13:P23" si="14">P12+((K13+L13+M13)/1000)</f>
        <v>2.5249999999999999</v>
      </c>
      <c r="Q13" s="155">
        <f t="shared" si="7"/>
        <v>9.9009900990099013E-6</v>
      </c>
      <c r="R13" s="156">
        <f t="shared" si="8"/>
        <v>9.9009900990099039E-7</v>
      </c>
      <c r="S13" s="157">
        <f t="shared" si="9"/>
        <v>0.10000000000000002</v>
      </c>
      <c r="T13" s="158">
        <f t="shared" si="10"/>
        <v>1.0000000000000001E-5</v>
      </c>
      <c r="U13" s="159">
        <f t="shared" si="11"/>
        <v>9.9009900990099039E-7</v>
      </c>
      <c r="V13" s="160">
        <f t="shared" si="12"/>
        <v>9.9009900990099028E-2</v>
      </c>
    </row>
    <row r="14" spans="2:22" x14ac:dyDescent="0.25">
      <c r="B14" s="144">
        <v>2</v>
      </c>
      <c r="C14" s="145">
        <v>0.25</v>
      </c>
      <c r="D14" s="146">
        <f t="shared" si="1"/>
        <v>2.5000000000000002E-6</v>
      </c>
      <c r="E14" s="147">
        <f t="shared" si="2"/>
        <v>6.2500000000000003E-6</v>
      </c>
      <c r="F14" s="148">
        <f t="shared" si="3"/>
        <v>62.5</v>
      </c>
      <c r="G14" s="148">
        <f t="shared" si="13"/>
        <v>6.25</v>
      </c>
      <c r="H14" s="148">
        <f t="shared" si="4"/>
        <v>0.625</v>
      </c>
      <c r="I14" s="148">
        <f t="shared" si="5"/>
        <v>6.25E-2</v>
      </c>
      <c r="J14" s="150">
        <f t="shared" si="6"/>
        <v>2.1014250000000001E-3</v>
      </c>
      <c r="K14" s="151">
        <f>(E14-E13)*1000/$F$11</f>
        <v>37.5</v>
      </c>
      <c r="L14" s="152"/>
      <c r="M14" s="152"/>
      <c r="N14" s="152"/>
      <c r="O14" s="153"/>
      <c r="P14" s="154">
        <f t="shared" si="14"/>
        <v>2.5625</v>
      </c>
      <c r="Q14" s="155">
        <f t="shared" si="7"/>
        <v>9.756097560975611E-6</v>
      </c>
      <c r="R14" s="156">
        <f t="shared" si="8"/>
        <v>2.4390243902439027E-6</v>
      </c>
      <c r="S14" s="157">
        <f t="shared" si="9"/>
        <v>0.25</v>
      </c>
      <c r="T14" s="158">
        <f t="shared" si="10"/>
        <v>1.0000000000000001E-5</v>
      </c>
      <c r="U14" s="159">
        <f t="shared" si="11"/>
        <v>2.4390243902439027E-6</v>
      </c>
      <c r="V14" s="160">
        <f t="shared" si="12"/>
        <v>0.24390243902439027</v>
      </c>
    </row>
    <row r="15" spans="2:22" x14ac:dyDescent="0.25">
      <c r="B15" s="144">
        <v>3</v>
      </c>
      <c r="C15" s="145">
        <v>0.5</v>
      </c>
      <c r="D15" s="146">
        <f t="shared" si="1"/>
        <v>5.0000000000000004E-6</v>
      </c>
      <c r="E15" s="147">
        <f t="shared" si="2"/>
        <v>1.2500000000000001E-5</v>
      </c>
      <c r="F15" s="148">
        <f t="shared" si="3"/>
        <v>125</v>
      </c>
      <c r="G15" s="148">
        <f t="shared" si="13"/>
        <v>12.5</v>
      </c>
      <c r="H15" s="148">
        <f t="shared" si="4"/>
        <v>1.25</v>
      </c>
      <c r="I15" s="148">
        <f t="shared" si="5"/>
        <v>0.125</v>
      </c>
      <c r="J15" s="150">
        <f t="shared" si="6"/>
        <v>4.2028500000000002E-3</v>
      </c>
      <c r="K15" s="151">
        <f>(E15-E14)*1000/$F$11</f>
        <v>62.5</v>
      </c>
      <c r="L15" s="152"/>
      <c r="M15" s="152"/>
      <c r="N15" s="152"/>
      <c r="O15" s="153"/>
      <c r="P15" s="154">
        <f t="shared" si="14"/>
        <v>2.625</v>
      </c>
      <c r="Q15" s="155">
        <f t="shared" si="7"/>
        <v>9.5238095238095247E-6</v>
      </c>
      <c r="R15" s="156">
        <f t="shared" si="8"/>
        <v>4.7619047619047624E-6</v>
      </c>
      <c r="S15" s="157">
        <f t="shared" si="9"/>
        <v>0.5</v>
      </c>
      <c r="T15" s="158">
        <f t="shared" si="10"/>
        <v>1.0000000000000001E-5</v>
      </c>
      <c r="U15" s="159">
        <f t="shared" si="11"/>
        <v>4.7619047619047624E-6</v>
      </c>
      <c r="V15" s="160">
        <f t="shared" si="12"/>
        <v>0.47619047619047622</v>
      </c>
    </row>
    <row r="16" spans="2:22" x14ac:dyDescent="0.25">
      <c r="B16" s="144">
        <v>4</v>
      </c>
      <c r="C16" s="145">
        <v>0.75</v>
      </c>
      <c r="D16" s="146">
        <f t="shared" si="1"/>
        <v>7.500000000000001E-6</v>
      </c>
      <c r="E16" s="147">
        <f t="shared" si="2"/>
        <v>1.8750000000000002E-5</v>
      </c>
      <c r="F16" s="148">
        <f t="shared" si="3"/>
        <v>187.50000000000003</v>
      </c>
      <c r="G16" s="148">
        <f t="shared" si="13"/>
        <v>18.750000000000004</v>
      </c>
      <c r="H16" s="148">
        <f t="shared" si="4"/>
        <v>1.8750000000000002</v>
      </c>
      <c r="I16" s="148">
        <f t="shared" si="5"/>
        <v>0.18750000000000003</v>
      </c>
      <c r="J16" s="150">
        <f t="shared" si="6"/>
        <v>6.3042750000000007E-3</v>
      </c>
      <c r="K16" s="151">
        <f>(E16-E15)*1000/$F$11</f>
        <v>62.500000000000007</v>
      </c>
      <c r="L16" s="152"/>
      <c r="M16" s="152"/>
      <c r="N16" s="152"/>
      <c r="O16" s="153"/>
      <c r="P16" s="154">
        <f t="shared" si="14"/>
        <v>2.6875</v>
      </c>
      <c r="Q16" s="155">
        <f t="shared" si="7"/>
        <v>9.3023255813953486E-6</v>
      </c>
      <c r="R16" s="156">
        <f t="shared" si="8"/>
        <v>6.9767441860465119E-6</v>
      </c>
      <c r="S16" s="157">
        <f t="shared" si="9"/>
        <v>0.75</v>
      </c>
      <c r="T16" s="158">
        <f t="shared" si="10"/>
        <v>1.0000000000000001E-5</v>
      </c>
      <c r="U16" s="159">
        <f t="shared" si="11"/>
        <v>6.9767441860465119E-6</v>
      </c>
      <c r="V16" s="160">
        <f t="shared" si="12"/>
        <v>0.69767441860465118</v>
      </c>
    </row>
    <row r="17" spans="2:22" x14ac:dyDescent="0.25">
      <c r="B17" s="144">
        <v>5</v>
      </c>
      <c r="C17" s="145">
        <v>1</v>
      </c>
      <c r="D17" s="146">
        <f t="shared" si="1"/>
        <v>1.0000000000000001E-5</v>
      </c>
      <c r="E17" s="147">
        <f t="shared" si="2"/>
        <v>2.5000000000000001E-5</v>
      </c>
      <c r="F17" s="148">
        <f t="shared" si="3"/>
        <v>250</v>
      </c>
      <c r="G17" s="148">
        <f t="shared" si="13"/>
        <v>25</v>
      </c>
      <c r="H17" s="148">
        <f t="shared" si="4"/>
        <v>2.5</v>
      </c>
      <c r="I17" s="148">
        <f t="shared" si="5"/>
        <v>0.25</v>
      </c>
      <c r="J17" s="150">
        <f t="shared" si="6"/>
        <v>8.4057000000000003E-3</v>
      </c>
      <c r="K17" s="151">
        <f>(E17-E16)*1000/$F$11</f>
        <v>62.499999999999993</v>
      </c>
      <c r="L17" s="152"/>
      <c r="M17" s="152"/>
      <c r="N17" s="152"/>
      <c r="O17" s="153"/>
      <c r="P17" s="154">
        <f t="shared" si="14"/>
        <v>2.75</v>
      </c>
      <c r="Q17" s="155">
        <f t="shared" si="7"/>
        <v>9.090909090909091E-6</v>
      </c>
      <c r="R17" s="156">
        <f t="shared" si="8"/>
        <v>9.090909090909091E-6</v>
      </c>
      <c r="S17" s="157">
        <f t="shared" si="9"/>
        <v>1</v>
      </c>
      <c r="T17" s="158">
        <f t="shared" si="10"/>
        <v>1.0000000000000001E-5</v>
      </c>
      <c r="U17" s="159">
        <f t="shared" si="11"/>
        <v>9.090909090909091E-6</v>
      </c>
      <c r="V17" s="160">
        <f t="shared" si="12"/>
        <v>0.90909090909090906</v>
      </c>
    </row>
    <row r="18" spans="2:22" x14ac:dyDescent="0.25">
      <c r="B18" s="144">
        <v>6</v>
      </c>
      <c r="C18" s="145">
        <v>2.5</v>
      </c>
      <c r="D18" s="146">
        <f t="shared" si="1"/>
        <v>2.5000000000000001E-5</v>
      </c>
      <c r="E18" s="147">
        <f t="shared" si="2"/>
        <v>6.2500000000000001E-5</v>
      </c>
      <c r="F18" s="148">
        <f t="shared" si="3"/>
        <v>625</v>
      </c>
      <c r="G18" s="148">
        <f t="shared" si="13"/>
        <v>62.5</v>
      </c>
      <c r="H18" s="148">
        <f t="shared" si="4"/>
        <v>6.25</v>
      </c>
      <c r="I18" s="148">
        <f t="shared" si="5"/>
        <v>0.625</v>
      </c>
      <c r="J18" s="150">
        <f t="shared" si="6"/>
        <v>2.1014250000000002E-2</v>
      </c>
      <c r="K18" s="151"/>
      <c r="L18" s="152">
        <f>(E18-E17)*1000/$G$11</f>
        <v>37.500000000000007</v>
      </c>
      <c r="M18" s="152"/>
      <c r="N18" s="152"/>
      <c r="O18" s="153"/>
      <c r="P18" s="154">
        <f t="shared" si="14"/>
        <v>2.7875000000000001</v>
      </c>
      <c r="Q18" s="155">
        <f t="shared" si="7"/>
        <v>8.9686098654708526E-6</v>
      </c>
      <c r="R18" s="156">
        <f t="shared" si="8"/>
        <v>2.2421524663677129E-5</v>
      </c>
      <c r="S18" s="157">
        <f t="shared" si="9"/>
        <v>2.4999999999999996</v>
      </c>
      <c r="T18" s="158">
        <f t="shared" si="10"/>
        <v>1.0000000000000001E-5</v>
      </c>
      <c r="U18" s="159">
        <f t="shared" si="11"/>
        <v>2.2421524663677129E-5</v>
      </c>
      <c r="V18" s="160">
        <f t="shared" si="12"/>
        <v>2.2421524663677128</v>
      </c>
    </row>
    <row r="19" spans="2:22" x14ac:dyDescent="0.25">
      <c r="B19" s="144">
        <v>7</v>
      </c>
      <c r="C19" s="145">
        <v>5</v>
      </c>
      <c r="D19" s="146">
        <f t="shared" si="1"/>
        <v>5.0000000000000002E-5</v>
      </c>
      <c r="E19" s="147">
        <f t="shared" si="2"/>
        <v>1.25E-4</v>
      </c>
      <c r="F19" s="148">
        <f t="shared" si="3"/>
        <v>1250</v>
      </c>
      <c r="G19" s="148">
        <f t="shared" si="13"/>
        <v>125</v>
      </c>
      <c r="H19" s="148">
        <f t="shared" si="4"/>
        <v>12.5</v>
      </c>
      <c r="I19" s="148">
        <f t="shared" si="5"/>
        <v>1.25</v>
      </c>
      <c r="J19" s="150">
        <f t="shared" si="6"/>
        <v>4.2028500000000003E-2</v>
      </c>
      <c r="K19" s="151"/>
      <c r="L19" s="152">
        <f>(E19-E18)*1000/$G$11</f>
        <v>62.5</v>
      </c>
      <c r="M19" s="152"/>
      <c r="N19" s="152"/>
      <c r="O19" s="153"/>
      <c r="P19" s="154">
        <f t="shared" si="14"/>
        <v>2.85</v>
      </c>
      <c r="Q19" s="155">
        <f t="shared" si="7"/>
        <v>8.7719298245614029E-6</v>
      </c>
      <c r="R19" s="156">
        <f t="shared" si="8"/>
        <v>4.3859649122807014E-5</v>
      </c>
      <c r="S19" s="157">
        <f t="shared" si="9"/>
        <v>5</v>
      </c>
      <c r="T19" s="158">
        <f t="shared" si="10"/>
        <v>1.0000000000000001E-5</v>
      </c>
      <c r="U19" s="159">
        <f t="shared" si="11"/>
        <v>4.3859649122807014E-5</v>
      </c>
      <c r="V19" s="160">
        <f t="shared" si="12"/>
        <v>4.3859649122807012</v>
      </c>
    </row>
    <row r="20" spans="2:22" x14ac:dyDescent="0.25">
      <c r="B20" s="144">
        <v>8</v>
      </c>
      <c r="C20" s="145">
        <v>7.5</v>
      </c>
      <c r="D20" s="146">
        <f t="shared" si="1"/>
        <v>7.5000000000000007E-5</v>
      </c>
      <c r="E20" s="147">
        <f t="shared" si="2"/>
        <v>1.875E-4</v>
      </c>
      <c r="F20" s="148">
        <f t="shared" si="3"/>
        <v>1875</v>
      </c>
      <c r="G20" s="148">
        <f t="shared" si="13"/>
        <v>187.5</v>
      </c>
      <c r="H20" s="148">
        <f t="shared" si="4"/>
        <v>18.75</v>
      </c>
      <c r="I20" s="148">
        <f t="shared" si="5"/>
        <v>1.875</v>
      </c>
      <c r="J20" s="150">
        <f t="shared" si="6"/>
        <v>6.3042750000000009E-2</v>
      </c>
      <c r="K20" s="151"/>
      <c r="L20" s="152">
        <f>(E20-E19)*1000/$G$11</f>
        <v>62.5</v>
      </c>
      <c r="M20" s="152"/>
      <c r="N20" s="152"/>
      <c r="O20" s="153"/>
      <c r="P20" s="154">
        <f t="shared" si="14"/>
        <v>2.9125000000000001</v>
      </c>
      <c r="Q20" s="155">
        <f t="shared" si="7"/>
        <v>8.5836909871244631E-6</v>
      </c>
      <c r="R20" s="156">
        <f t="shared" si="8"/>
        <v>6.4377682403433481E-5</v>
      </c>
      <c r="S20" s="157">
        <f t="shared" si="9"/>
        <v>7.5000000000000009</v>
      </c>
      <c r="T20" s="158">
        <f t="shared" si="10"/>
        <v>1.0000000000000001E-5</v>
      </c>
      <c r="U20" s="159">
        <f t="shared" si="11"/>
        <v>6.4377682403433481E-5</v>
      </c>
      <c r="V20" s="160">
        <f t="shared" si="12"/>
        <v>6.4377682403433472</v>
      </c>
    </row>
    <row r="21" spans="2:22" x14ac:dyDescent="0.25">
      <c r="B21" s="144">
        <v>9</v>
      </c>
      <c r="C21" s="145">
        <v>10</v>
      </c>
      <c r="D21" s="146">
        <f t="shared" si="1"/>
        <v>1E-4</v>
      </c>
      <c r="E21" s="147">
        <f t="shared" si="2"/>
        <v>2.5000000000000001E-4</v>
      </c>
      <c r="F21" s="148">
        <f t="shared" si="3"/>
        <v>2500</v>
      </c>
      <c r="G21" s="148">
        <f t="shared" si="13"/>
        <v>250</v>
      </c>
      <c r="H21" s="148">
        <f t="shared" si="4"/>
        <v>25</v>
      </c>
      <c r="I21" s="148">
        <f t="shared" si="5"/>
        <v>2.5</v>
      </c>
      <c r="J21" s="150">
        <f t="shared" si="6"/>
        <v>8.4057000000000007E-2</v>
      </c>
      <c r="K21" s="151"/>
      <c r="L21" s="152">
        <f>(E21-E20)*1000/$G$11</f>
        <v>62.5</v>
      </c>
      <c r="M21" s="152"/>
      <c r="N21" s="152"/>
      <c r="O21" s="153"/>
      <c r="P21" s="154">
        <f t="shared" si="14"/>
        <v>2.9750000000000001</v>
      </c>
      <c r="Q21" s="155">
        <f t="shared" si="7"/>
        <v>8.4033613445378154E-6</v>
      </c>
      <c r="R21" s="156">
        <f t="shared" si="8"/>
        <v>8.4033613445378154E-5</v>
      </c>
      <c r="S21" s="157">
        <f t="shared" si="9"/>
        <v>10</v>
      </c>
      <c r="T21" s="158">
        <f t="shared" si="10"/>
        <v>1.0000000000000001E-5</v>
      </c>
      <c r="U21" s="159">
        <f t="shared" si="11"/>
        <v>8.4033613445378154E-5</v>
      </c>
      <c r="V21" s="160">
        <f t="shared" si="12"/>
        <v>8.4033613445378155</v>
      </c>
    </row>
    <row r="22" spans="2:22" x14ac:dyDescent="0.25">
      <c r="B22" s="144">
        <v>10</v>
      </c>
      <c r="C22" s="145">
        <v>20</v>
      </c>
      <c r="D22" s="146">
        <f t="shared" si="1"/>
        <v>2.0000000000000001E-4</v>
      </c>
      <c r="E22" s="147">
        <f t="shared" si="2"/>
        <v>5.0000000000000001E-4</v>
      </c>
      <c r="F22" s="148">
        <f t="shared" si="3"/>
        <v>5000</v>
      </c>
      <c r="G22" s="148">
        <f t="shared" si="13"/>
        <v>500</v>
      </c>
      <c r="H22" s="148">
        <f t="shared" si="4"/>
        <v>50</v>
      </c>
      <c r="I22" s="148">
        <f t="shared" si="5"/>
        <v>5</v>
      </c>
      <c r="J22" s="150">
        <f t="shared" si="6"/>
        <v>0.16811400000000001</v>
      </c>
      <c r="K22" s="151"/>
      <c r="L22" s="152"/>
      <c r="M22" s="152">
        <f>(E22-E21)*1000/$H$11</f>
        <v>25</v>
      </c>
      <c r="N22" s="152"/>
      <c r="O22" s="153"/>
      <c r="P22" s="154">
        <f t="shared" si="14"/>
        <v>3</v>
      </c>
      <c r="Q22" s="155">
        <f t="shared" si="7"/>
        <v>8.3333333333333337E-6</v>
      </c>
      <c r="R22" s="156">
        <f t="shared" si="8"/>
        <v>1.6666666666666666E-4</v>
      </c>
      <c r="S22" s="157">
        <f t="shared" si="9"/>
        <v>20</v>
      </c>
      <c r="T22" s="158">
        <f t="shared" si="10"/>
        <v>1.0000000000000001E-5</v>
      </c>
      <c r="U22" s="159">
        <f t="shared" si="11"/>
        <v>1.6666666666666666E-4</v>
      </c>
      <c r="V22" s="160">
        <f t="shared" si="12"/>
        <v>16.666666666666664</v>
      </c>
    </row>
    <row r="23" spans="2:22" ht="15.75" thickBot="1" x14ac:dyDescent="0.3">
      <c r="B23" s="161">
        <v>11</v>
      </c>
      <c r="C23" s="162">
        <v>50</v>
      </c>
      <c r="D23" s="163">
        <f t="shared" si="1"/>
        <v>5.0000000000000001E-4</v>
      </c>
      <c r="E23" s="164">
        <f t="shared" si="2"/>
        <v>1.25E-3</v>
      </c>
      <c r="F23" s="165">
        <f t="shared" si="3"/>
        <v>12500</v>
      </c>
      <c r="G23" s="165">
        <f t="shared" si="13"/>
        <v>1250</v>
      </c>
      <c r="H23" s="165">
        <f t="shared" si="4"/>
        <v>125</v>
      </c>
      <c r="I23" s="165">
        <f t="shared" si="5"/>
        <v>12.5</v>
      </c>
      <c r="J23" s="166">
        <f t="shared" si="6"/>
        <v>0.42028500000000002</v>
      </c>
      <c r="K23" s="167"/>
      <c r="L23" s="168"/>
      <c r="M23" s="168">
        <f>(E23-E22)*1000/$H$11</f>
        <v>75</v>
      </c>
      <c r="N23" s="168"/>
      <c r="O23" s="169"/>
      <c r="P23" s="170">
        <f t="shared" si="14"/>
        <v>3.0750000000000002</v>
      </c>
      <c r="Q23" s="171">
        <f t="shared" si="7"/>
        <v>8.1300813008130074E-6</v>
      </c>
      <c r="R23" s="172">
        <f t="shared" si="8"/>
        <v>4.0650406504065041E-4</v>
      </c>
      <c r="S23" s="173">
        <f t="shared" si="9"/>
        <v>50.000000000000007</v>
      </c>
      <c r="T23" s="174">
        <f t="shared" si="10"/>
        <v>1.0000000000000001E-5</v>
      </c>
      <c r="U23" s="175">
        <f t="shared" si="11"/>
        <v>4.0650406504065041E-4</v>
      </c>
      <c r="V23" s="176">
        <f t="shared" si="12"/>
        <v>40.650406504065039</v>
      </c>
    </row>
    <row r="24" spans="2:22" x14ac:dyDescent="0.25">
      <c r="B24" s="177" t="s">
        <v>96</v>
      </c>
    </row>
    <row r="25" spans="2:22" x14ac:dyDescent="0.25">
      <c r="B25" s="178" t="s">
        <v>97</v>
      </c>
    </row>
    <row r="26" spans="2:22" s="143" customFormat="1" x14ac:dyDescent="0.25">
      <c r="F26"/>
      <c r="N26" s="179"/>
      <c r="O26" s="179"/>
    </row>
    <row r="27" spans="2:22" ht="15.75" thickBot="1" x14ac:dyDescent="0.3">
      <c r="B27" s="180" t="s">
        <v>98</v>
      </c>
      <c r="C27" s="179"/>
      <c r="D27" s="179"/>
      <c r="E27" s="179"/>
      <c r="H27" s="9" t="str">
        <f>"1) prepare stock 0 weighting a reliable amount of "&amp;C5</f>
        <v>1) prepare stock 0 weighting a reliable amount of Ba(ClO4)2</v>
      </c>
    </row>
    <row r="28" spans="2:22" x14ac:dyDescent="0.25">
      <c r="B28" s="181"/>
      <c r="C28" s="89" t="s">
        <v>87</v>
      </c>
      <c r="D28" s="89" t="s">
        <v>88</v>
      </c>
      <c r="E28" s="89" t="s">
        <v>89</v>
      </c>
      <c r="F28" s="91" t="s">
        <v>99</v>
      </c>
      <c r="H28" s="182" t="s">
        <v>100</v>
      </c>
    </row>
    <row r="29" spans="2:22" x14ac:dyDescent="0.25">
      <c r="B29" s="183" t="s">
        <v>101</v>
      </c>
      <c r="C29" s="184">
        <v>1</v>
      </c>
      <c r="D29" s="184">
        <v>1</v>
      </c>
      <c r="E29" s="184">
        <v>1</v>
      </c>
      <c r="F29" s="185">
        <v>1</v>
      </c>
    </row>
    <row r="30" spans="2:22" x14ac:dyDescent="0.25">
      <c r="B30" s="183" t="str">
        <f>"["&amp;C5&amp;"]"</f>
        <v>[Ba(ClO4)2]</v>
      </c>
      <c r="C30" s="186">
        <f>F11</f>
        <v>1E-4</v>
      </c>
      <c r="D30" s="186">
        <f>G11</f>
        <v>1E-3</v>
      </c>
      <c r="E30" s="186">
        <f>H11</f>
        <v>0.01</v>
      </c>
      <c r="F30" s="186">
        <f>I11</f>
        <v>0.1</v>
      </c>
    </row>
    <row r="31" spans="2:22" ht="15.75" thickBot="1" x14ac:dyDescent="0.3">
      <c r="B31" s="187" t="str">
        <f>"mg "&amp;C5</f>
        <v>mg Ba(ClO4)2</v>
      </c>
      <c r="C31" s="188">
        <f>C29*C30*$C$6</f>
        <v>3.3622800000000001E-2</v>
      </c>
      <c r="D31" s="188">
        <f>D29*D30*$C$6</f>
        <v>0.33622800000000003</v>
      </c>
      <c r="E31" s="188">
        <f>E29*E30*$C$6</f>
        <v>3.3622800000000002</v>
      </c>
      <c r="F31" s="189">
        <f>F29*F30*$C$6</f>
        <v>33.622800000000005</v>
      </c>
    </row>
    <row r="33" spans="2:6" x14ac:dyDescent="0.25">
      <c r="B33" s="180" t="s">
        <v>102</v>
      </c>
    </row>
    <row r="34" spans="2:6" ht="15.75" thickBot="1" x14ac:dyDescent="0.3">
      <c r="C34" s="179" t="s">
        <v>103</v>
      </c>
      <c r="E34" s="179" t="s">
        <v>104</v>
      </c>
    </row>
    <row r="35" spans="2:6" x14ac:dyDescent="0.25">
      <c r="B35" s="190" t="s">
        <v>101</v>
      </c>
      <c r="C35" s="191">
        <v>25</v>
      </c>
      <c r="E35" s="109" t="str">
        <f>"["&amp;C3&amp;"]"</f>
        <v>[AAN219]</v>
      </c>
      <c r="F35" s="192">
        <f>C7</f>
        <v>1.0000000000000001E-5</v>
      </c>
    </row>
    <row r="36" spans="2:6" x14ac:dyDescent="0.25">
      <c r="B36" s="183" t="str">
        <f>"["&amp;C3&amp;"]"</f>
        <v>[AAN219]</v>
      </c>
      <c r="C36" s="193">
        <v>1E-4</v>
      </c>
      <c r="E36" s="194" t="s">
        <v>105</v>
      </c>
      <c r="F36" s="195">
        <f>F38*F35/C36</f>
        <v>1</v>
      </c>
    </row>
    <row r="37" spans="2:6" ht="15.75" thickBot="1" x14ac:dyDescent="0.3">
      <c r="B37" s="187" t="str">
        <f>"mg "&amp;C3</f>
        <v>mg AAN219</v>
      </c>
      <c r="C37" s="196">
        <f>C35*C36*$C$4</f>
        <v>2.5766000000000004</v>
      </c>
      <c r="E37" s="194" t="s">
        <v>106</v>
      </c>
      <c r="F37" s="195">
        <f>F38-F36</f>
        <v>9</v>
      </c>
    </row>
    <row r="38" spans="2:6" ht="15.75" thickBot="1" x14ac:dyDescent="0.3">
      <c r="E38" s="197" t="s">
        <v>107</v>
      </c>
      <c r="F38" s="198">
        <v>10</v>
      </c>
    </row>
  </sheetData>
  <mergeCells count="1">
    <mergeCell ref="F8:J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zoomScale="75" zoomScaleNormal="75" workbookViewId="0">
      <selection activeCell="L27" sqref="L27:Q38"/>
    </sheetView>
  </sheetViews>
  <sheetFormatPr baseColWidth="10" defaultRowHeight="15" x14ac:dyDescent="0.25"/>
  <cols>
    <col min="2" max="2" width="14.85546875" style="2" customWidth="1"/>
    <col min="3" max="3" width="15.7109375" style="2" customWidth="1"/>
    <col min="4" max="4" width="16.5703125" style="2" customWidth="1"/>
    <col min="5" max="5" width="19.7109375" style="2" customWidth="1"/>
    <col min="9" max="9" width="16.42578125" customWidth="1"/>
    <col min="10" max="10" width="17.7109375" customWidth="1"/>
    <col min="11" max="11" width="12.85546875" customWidth="1"/>
    <col min="12" max="12" width="14" customWidth="1"/>
    <col min="13" max="13" width="12.5703125" customWidth="1"/>
    <col min="14" max="14" width="15.28515625" style="2" customWidth="1"/>
    <col min="15" max="15" width="14.7109375" style="2" customWidth="1"/>
    <col min="16" max="16" width="13.85546875" customWidth="1"/>
    <col min="17" max="17" width="14.85546875" customWidth="1"/>
  </cols>
  <sheetData>
    <row r="2" spans="2:21" ht="15.75" thickBot="1" x14ac:dyDescent="0.3"/>
    <row r="3" spans="2:21" x14ac:dyDescent="0.25">
      <c r="B3" s="259" t="s">
        <v>73</v>
      </c>
      <c r="C3" s="260" t="str">
        <f>'EXPERIMENTAL CONDITIONS'!C3</f>
        <v>AAN219</v>
      </c>
    </row>
    <row r="4" spans="2:21" x14ac:dyDescent="0.25">
      <c r="B4" s="261" t="str">
        <f>"MW "&amp;C3</f>
        <v>MW AAN219</v>
      </c>
      <c r="C4" s="219">
        <f>'EXPERIMENTAL CONDITIONS'!C4</f>
        <v>1030.6400000000001</v>
      </c>
      <c r="F4" s="199"/>
      <c r="G4" s="199"/>
      <c r="H4" s="199"/>
      <c r="I4" s="199"/>
    </row>
    <row r="5" spans="2:21" x14ac:dyDescent="0.25">
      <c r="B5" s="261" t="s">
        <v>74</v>
      </c>
      <c r="C5" s="219" t="str">
        <f>'EXPERIMENTAL CONDITIONS'!C5</f>
        <v>Ba(ClO4)2</v>
      </c>
      <c r="F5" s="199"/>
      <c r="G5" s="199"/>
      <c r="H5" s="199"/>
      <c r="I5" s="199"/>
    </row>
    <row r="6" spans="2:21" x14ac:dyDescent="0.25">
      <c r="B6" s="261" t="str">
        <f>"MW "&amp;C5</f>
        <v>MW Ba(ClO4)2</v>
      </c>
      <c r="C6" s="219">
        <f>'EXPERIMENTAL CONDITIONS'!C6</f>
        <v>336.22800000000001</v>
      </c>
      <c r="F6" s="199"/>
      <c r="G6" s="199"/>
      <c r="H6" s="199"/>
      <c r="I6" s="199"/>
    </row>
    <row r="7" spans="2:21" ht="15.75" thickBot="1" x14ac:dyDescent="0.3">
      <c r="B7" s="261" t="str">
        <f>"["&amp;C3&amp;"]0"</f>
        <v>[AAN219]0</v>
      </c>
      <c r="C7" s="264">
        <f>'EXPERIMENTAL CONDITIONS'!C7</f>
        <v>1.0000000000000001E-5</v>
      </c>
      <c r="F7" s="199"/>
      <c r="G7" s="199"/>
      <c r="H7" s="199"/>
      <c r="I7" s="199"/>
      <c r="J7" s="9" t="s">
        <v>77</v>
      </c>
    </row>
    <row r="8" spans="2:21" ht="15.75" thickBot="1" x14ac:dyDescent="0.3">
      <c r="B8" s="261" t="str">
        <f>"Vt "&amp;C3&amp;" (mL)"</f>
        <v>Vt AAN219 (mL)</v>
      </c>
      <c r="C8" s="219">
        <f>'EXPERIMENTAL CONDITIONS'!C8</f>
        <v>2.5</v>
      </c>
      <c r="F8" s="278"/>
      <c r="G8" s="278"/>
      <c r="H8" s="278"/>
      <c r="I8" s="278"/>
      <c r="J8" s="279" t="s">
        <v>79</v>
      </c>
      <c r="K8" s="280"/>
      <c r="L8" s="280"/>
      <c r="M8" s="281"/>
      <c r="P8" s="109" t="s">
        <v>80</v>
      </c>
      <c r="Q8" s="110"/>
      <c r="R8" s="110"/>
      <c r="S8" s="110"/>
      <c r="T8" s="110"/>
      <c r="U8" s="111"/>
    </row>
    <row r="9" spans="2:21" ht="15.75" thickBot="1" x14ac:dyDescent="0.3">
      <c r="B9" s="262" t="str">
        <f>"mmol "&amp;C3</f>
        <v>mmol AAN219</v>
      </c>
      <c r="C9" s="263">
        <f>C7*C8</f>
        <v>2.5000000000000001E-5</v>
      </c>
      <c r="F9" s="186"/>
      <c r="G9" s="186"/>
      <c r="H9" s="186"/>
      <c r="I9" s="186"/>
      <c r="J9" s="113" t="s">
        <v>83</v>
      </c>
      <c r="K9" s="117" t="s">
        <v>83</v>
      </c>
      <c r="L9" s="117" t="s">
        <v>83</v>
      </c>
      <c r="M9" s="119" t="s">
        <v>84</v>
      </c>
      <c r="P9" s="120" t="s">
        <v>85</v>
      </c>
      <c r="Q9" s="121"/>
      <c r="R9" s="121"/>
      <c r="S9" s="122"/>
      <c r="T9" s="123" t="s">
        <v>86</v>
      </c>
      <c r="U9" s="124"/>
    </row>
    <row r="10" spans="2:21" ht="15.75" thickBot="1" x14ac:dyDescent="0.3">
      <c r="F10" s="200"/>
      <c r="G10" s="200"/>
      <c r="H10" s="200"/>
      <c r="I10" s="200"/>
      <c r="J10" s="201" t="s">
        <v>87</v>
      </c>
      <c r="K10" s="202" t="s">
        <v>88</v>
      </c>
      <c r="L10" s="202" t="s">
        <v>89</v>
      </c>
      <c r="M10" s="203" t="s">
        <v>99</v>
      </c>
      <c r="N10" s="111" t="str">
        <f>"mg of "&amp;C5</f>
        <v>mg of Ba(ClO4)2</v>
      </c>
      <c r="O10" s="125" t="s">
        <v>91</v>
      </c>
      <c r="P10" s="129" t="s">
        <v>16</v>
      </c>
      <c r="Q10" s="130" t="s">
        <v>38</v>
      </c>
      <c r="R10" s="130" t="s">
        <v>92</v>
      </c>
      <c r="S10" s="129" t="s">
        <v>16</v>
      </c>
      <c r="T10" s="130" t="s">
        <v>38</v>
      </c>
      <c r="U10" s="131" t="s">
        <v>92</v>
      </c>
    </row>
    <row r="11" spans="2:21" s="143" customFormat="1" ht="15.75" thickBot="1" x14ac:dyDescent="0.3">
      <c r="F11" s="109" t="s">
        <v>93</v>
      </c>
      <c r="G11" s="110" t="str">
        <f>"equiv."&amp;C5&amp;""</f>
        <v>equiv.Ba(ClO4)2</v>
      </c>
      <c r="H11" s="110" t="str">
        <f>"["&amp;C5&amp;"]"</f>
        <v>[Ba(ClO4)2]</v>
      </c>
      <c r="I11" s="110" t="str">
        <f>"mmol "&amp;C5</f>
        <v>mmol Ba(ClO4)2</v>
      </c>
      <c r="J11" s="204">
        <f>'EXPERIMENTAL CONDITIONS'!F11</f>
        <v>1E-4</v>
      </c>
      <c r="K11" s="204">
        <f>'EXPERIMENTAL CONDITIONS'!G11</f>
        <v>1E-3</v>
      </c>
      <c r="L11" s="204">
        <f>'EXPERIMENTAL CONDITIONS'!H11</f>
        <v>0.01</v>
      </c>
      <c r="M11" s="205">
        <f>'EXPERIMENTAL CONDITIONS'!I11</f>
        <v>0.1</v>
      </c>
      <c r="N11" s="206"/>
      <c r="O11" s="138" t="s">
        <v>94</v>
      </c>
      <c r="P11" s="139" t="s">
        <v>95</v>
      </c>
      <c r="Q11" s="140" t="s">
        <v>95</v>
      </c>
      <c r="R11" s="207"/>
      <c r="S11" s="142"/>
      <c r="T11" s="140" t="s">
        <v>95</v>
      </c>
      <c r="U11" s="141"/>
    </row>
    <row r="12" spans="2:21" x14ac:dyDescent="0.25">
      <c r="F12" s="116">
        <f>'EXPERIMENTAL CONDITIONS'!B12</f>
        <v>0</v>
      </c>
      <c r="G12" s="272">
        <f>'EXPERIMENTAL CONDITIONS'!C12</f>
        <v>0</v>
      </c>
      <c r="H12" s="116">
        <f>'EXPERIMENTAL CONDITIONS'!D12</f>
        <v>0</v>
      </c>
      <c r="I12" s="119">
        <f>'EXPERIMENTAL CONDITIONS'!E12</f>
        <v>0</v>
      </c>
      <c r="J12" s="265">
        <f>'EXPERIMENTAL CONDITIONS'!K12</f>
        <v>0</v>
      </c>
      <c r="K12" s="265">
        <f>'EXPERIMENTAL CONDITIONS'!L12</f>
        <v>0</v>
      </c>
      <c r="L12" s="265">
        <f>'EXPERIMENTAL CONDITIONS'!M12</f>
        <v>0</v>
      </c>
      <c r="M12" s="266">
        <f>'EXPERIMENTAL CONDITIONS'!N12</f>
        <v>0</v>
      </c>
      <c r="N12" s="267"/>
      <c r="O12" s="154">
        <f>$C$8+((J12+K12+L12+M12)/1000)</f>
        <v>2.5</v>
      </c>
      <c r="P12" s="155">
        <f>$C$7*$C$8/O12</f>
        <v>1.0000000000000001E-5</v>
      </c>
      <c r="Q12" s="156">
        <f t="shared" ref="Q12:Q23" si="0">I12/O12</f>
        <v>0</v>
      </c>
      <c r="R12" s="156">
        <f>Q12/P12</f>
        <v>0</v>
      </c>
      <c r="S12" s="158">
        <f>$C$7</f>
        <v>1.0000000000000001E-5</v>
      </c>
      <c r="T12" s="159">
        <f t="shared" ref="T12:T23" si="1">I12/O12</f>
        <v>0</v>
      </c>
      <c r="U12" s="208">
        <f t="shared" ref="U12:U23" si="2">T12/$C$7</f>
        <v>0</v>
      </c>
    </row>
    <row r="13" spans="2:21" x14ac:dyDescent="0.25">
      <c r="F13" s="154">
        <v>1</v>
      </c>
      <c r="G13" s="273">
        <f>'EXPERIMENTAL CONDITIONS'!C13</f>
        <v>0.1</v>
      </c>
      <c r="H13" s="149">
        <v>5.0000000000000008E-7</v>
      </c>
      <c r="I13" s="147">
        <f>(J13*$J$11+K13*$K$11+L13*$L$11+M13*$M$11)/1000+I12+(N13/$C$6)</f>
        <v>2.5000000000000006E-6</v>
      </c>
      <c r="J13" s="265">
        <f>'EXPERIMENTAL CONDITIONS'!K13</f>
        <v>25.000000000000004</v>
      </c>
      <c r="K13" s="265">
        <f>'EXPERIMENTAL CONDITIONS'!L13</f>
        <v>0</v>
      </c>
      <c r="L13" s="265">
        <f>'EXPERIMENTAL CONDITIONS'!M13</f>
        <v>0</v>
      </c>
      <c r="M13" s="266">
        <f>'EXPERIMENTAL CONDITIONS'!N13</f>
        <v>0</v>
      </c>
      <c r="N13" s="267"/>
      <c r="O13" s="154">
        <f>O12+((J13+K13+L13+M13)/1000)</f>
        <v>2.5249999999999999</v>
      </c>
      <c r="P13" s="155">
        <f t="shared" ref="P13:P23" si="3">$C$7*$C$8/O13</f>
        <v>9.9009900990099013E-6</v>
      </c>
      <c r="Q13" s="156">
        <f t="shared" si="0"/>
        <v>9.9009900990099039E-7</v>
      </c>
      <c r="R13" s="156">
        <f t="shared" ref="R13:R23" si="4">Q13/P13</f>
        <v>0.10000000000000002</v>
      </c>
      <c r="S13" s="158">
        <f t="shared" ref="S13:S23" si="5">$C$7</f>
        <v>1.0000000000000001E-5</v>
      </c>
      <c r="T13" s="159">
        <f t="shared" si="1"/>
        <v>9.9009900990099039E-7</v>
      </c>
      <c r="U13" s="208">
        <f t="shared" si="2"/>
        <v>9.9009900990099028E-2</v>
      </c>
    </row>
    <row r="14" spans="2:21" x14ac:dyDescent="0.25">
      <c r="F14" s="154">
        <v>2</v>
      </c>
      <c r="G14" s="273">
        <f>'EXPERIMENTAL CONDITIONS'!C14</f>
        <v>0.25</v>
      </c>
      <c r="H14" s="149">
        <v>1.2500000000000001E-6</v>
      </c>
      <c r="I14" s="147">
        <f t="shared" ref="I14:I23" si="6">(J14*$J$11+K14*$K$11+L14*$L$11+M14*$M$11)/1000+I13+(N14/$C$6)</f>
        <v>6.2500000000000011E-6</v>
      </c>
      <c r="J14" s="265">
        <f>'EXPERIMENTAL CONDITIONS'!K14</f>
        <v>37.5</v>
      </c>
      <c r="K14" s="265">
        <f>'EXPERIMENTAL CONDITIONS'!L14</f>
        <v>0</v>
      </c>
      <c r="L14" s="265">
        <f>'EXPERIMENTAL CONDITIONS'!M14</f>
        <v>0</v>
      </c>
      <c r="M14" s="266">
        <f>'EXPERIMENTAL CONDITIONS'!N14</f>
        <v>0</v>
      </c>
      <c r="N14" s="267"/>
      <c r="O14" s="154">
        <f t="shared" ref="O14:O23" si="7">O13+((J14+K14+L14+M14)/1000)</f>
        <v>2.5625</v>
      </c>
      <c r="P14" s="155">
        <f t="shared" si="3"/>
        <v>9.756097560975611E-6</v>
      </c>
      <c r="Q14" s="156">
        <f t="shared" si="0"/>
        <v>2.4390243902439027E-6</v>
      </c>
      <c r="R14" s="156">
        <f t="shared" si="4"/>
        <v>0.25</v>
      </c>
      <c r="S14" s="158">
        <f t="shared" si="5"/>
        <v>1.0000000000000001E-5</v>
      </c>
      <c r="T14" s="159">
        <f t="shared" si="1"/>
        <v>2.4390243902439027E-6</v>
      </c>
      <c r="U14" s="208">
        <f t="shared" si="2"/>
        <v>0.24390243902439027</v>
      </c>
    </row>
    <row r="15" spans="2:21" x14ac:dyDescent="0.25">
      <c r="F15" s="154">
        <v>3</v>
      </c>
      <c r="G15" s="273">
        <f>'EXPERIMENTAL CONDITIONS'!C15</f>
        <v>0.5</v>
      </c>
      <c r="H15" s="149">
        <v>2.5000000000000002E-6</v>
      </c>
      <c r="I15" s="147">
        <f t="shared" si="6"/>
        <v>1.2500000000000002E-5</v>
      </c>
      <c r="J15" s="265">
        <f>'EXPERIMENTAL CONDITIONS'!K15</f>
        <v>62.5</v>
      </c>
      <c r="K15" s="265">
        <f>'EXPERIMENTAL CONDITIONS'!L15</f>
        <v>0</v>
      </c>
      <c r="L15" s="265">
        <f>'EXPERIMENTAL CONDITIONS'!M15</f>
        <v>0</v>
      </c>
      <c r="M15" s="266">
        <f>'EXPERIMENTAL CONDITIONS'!N15</f>
        <v>0</v>
      </c>
      <c r="N15" s="267"/>
      <c r="O15" s="154">
        <f t="shared" si="7"/>
        <v>2.625</v>
      </c>
      <c r="P15" s="155">
        <f t="shared" si="3"/>
        <v>9.5238095238095247E-6</v>
      </c>
      <c r="Q15" s="156">
        <f t="shared" si="0"/>
        <v>4.7619047619047624E-6</v>
      </c>
      <c r="R15" s="156">
        <f t="shared" si="4"/>
        <v>0.5</v>
      </c>
      <c r="S15" s="158">
        <f t="shared" si="5"/>
        <v>1.0000000000000001E-5</v>
      </c>
      <c r="T15" s="159">
        <f t="shared" si="1"/>
        <v>4.7619047619047624E-6</v>
      </c>
      <c r="U15" s="208">
        <f t="shared" si="2"/>
        <v>0.47619047619047622</v>
      </c>
    </row>
    <row r="16" spans="2:21" x14ac:dyDescent="0.25">
      <c r="F16" s="154">
        <v>4</v>
      </c>
      <c r="G16" s="273">
        <f>'EXPERIMENTAL CONDITIONS'!C16</f>
        <v>0.75</v>
      </c>
      <c r="H16" s="149">
        <v>3.7500000000000005E-6</v>
      </c>
      <c r="I16" s="147">
        <f t="shared" si="6"/>
        <v>1.8750000000000002E-5</v>
      </c>
      <c r="J16" s="265">
        <f>'EXPERIMENTAL CONDITIONS'!K16</f>
        <v>62.500000000000007</v>
      </c>
      <c r="K16" s="265">
        <f>'EXPERIMENTAL CONDITIONS'!L16</f>
        <v>0</v>
      </c>
      <c r="L16" s="265">
        <f>'EXPERIMENTAL CONDITIONS'!M16</f>
        <v>0</v>
      </c>
      <c r="M16" s="266">
        <f>'EXPERIMENTAL CONDITIONS'!N16</f>
        <v>0</v>
      </c>
      <c r="N16" s="267"/>
      <c r="O16" s="154">
        <f t="shared" si="7"/>
        <v>2.6875</v>
      </c>
      <c r="P16" s="155">
        <f t="shared" si="3"/>
        <v>9.3023255813953486E-6</v>
      </c>
      <c r="Q16" s="156">
        <f t="shared" si="0"/>
        <v>6.9767441860465119E-6</v>
      </c>
      <c r="R16" s="156">
        <f t="shared" si="4"/>
        <v>0.75</v>
      </c>
      <c r="S16" s="158">
        <f t="shared" si="5"/>
        <v>1.0000000000000001E-5</v>
      </c>
      <c r="T16" s="159">
        <f t="shared" si="1"/>
        <v>6.9767441860465119E-6</v>
      </c>
      <c r="U16" s="208">
        <f t="shared" si="2"/>
        <v>0.69767441860465118</v>
      </c>
    </row>
    <row r="17" spans="2:21" x14ac:dyDescent="0.25">
      <c r="F17" s="154">
        <v>5</v>
      </c>
      <c r="G17" s="273">
        <f>'EXPERIMENTAL CONDITIONS'!C17</f>
        <v>1</v>
      </c>
      <c r="H17" s="149">
        <v>5.0000000000000004E-6</v>
      </c>
      <c r="I17" s="147">
        <f t="shared" si="6"/>
        <v>2.5000000000000001E-5</v>
      </c>
      <c r="J17" s="265">
        <f>'EXPERIMENTAL CONDITIONS'!K17</f>
        <v>62.499999999999993</v>
      </c>
      <c r="K17" s="265">
        <f>'EXPERIMENTAL CONDITIONS'!L17</f>
        <v>0</v>
      </c>
      <c r="L17" s="265">
        <f>'EXPERIMENTAL CONDITIONS'!M17</f>
        <v>0</v>
      </c>
      <c r="M17" s="266">
        <f>'EXPERIMENTAL CONDITIONS'!N17</f>
        <v>0</v>
      </c>
      <c r="N17" s="267"/>
      <c r="O17" s="154">
        <f t="shared" si="7"/>
        <v>2.75</v>
      </c>
      <c r="P17" s="155">
        <f t="shared" si="3"/>
        <v>9.090909090909091E-6</v>
      </c>
      <c r="Q17" s="156">
        <f t="shared" si="0"/>
        <v>9.090909090909091E-6</v>
      </c>
      <c r="R17" s="156">
        <f t="shared" si="4"/>
        <v>1</v>
      </c>
      <c r="S17" s="158">
        <f t="shared" si="5"/>
        <v>1.0000000000000001E-5</v>
      </c>
      <c r="T17" s="159">
        <f t="shared" si="1"/>
        <v>9.090909090909091E-6</v>
      </c>
      <c r="U17" s="208">
        <f t="shared" si="2"/>
        <v>0.90909090909090906</v>
      </c>
    </row>
    <row r="18" spans="2:21" x14ac:dyDescent="0.25">
      <c r="F18" s="154">
        <v>6</v>
      </c>
      <c r="G18" s="273">
        <f>'EXPERIMENTAL CONDITIONS'!C18</f>
        <v>2.5</v>
      </c>
      <c r="H18" s="149">
        <v>1.2500000000000001E-5</v>
      </c>
      <c r="I18" s="147">
        <f t="shared" si="6"/>
        <v>6.2500000000000001E-5</v>
      </c>
      <c r="J18" s="265">
        <f>'EXPERIMENTAL CONDITIONS'!K18</f>
        <v>0</v>
      </c>
      <c r="K18" s="265">
        <f>'EXPERIMENTAL CONDITIONS'!L18</f>
        <v>37.500000000000007</v>
      </c>
      <c r="L18" s="265">
        <f>'EXPERIMENTAL CONDITIONS'!M18</f>
        <v>0</v>
      </c>
      <c r="M18" s="266">
        <f>'EXPERIMENTAL CONDITIONS'!N18</f>
        <v>0</v>
      </c>
      <c r="N18" s="267"/>
      <c r="O18" s="154">
        <f t="shared" si="7"/>
        <v>2.7875000000000001</v>
      </c>
      <c r="P18" s="155">
        <f t="shared" si="3"/>
        <v>8.9686098654708526E-6</v>
      </c>
      <c r="Q18" s="156">
        <f t="shared" si="0"/>
        <v>2.2421524663677129E-5</v>
      </c>
      <c r="R18" s="156">
        <f t="shared" si="4"/>
        <v>2.4999999999999996</v>
      </c>
      <c r="S18" s="158">
        <f t="shared" si="5"/>
        <v>1.0000000000000001E-5</v>
      </c>
      <c r="T18" s="159">
        <f t="shared" si="1"/>
        <v>2.2421524663677129E-5</v>
      </c>
      <c r="U18" s="208">
        <f t="shared" si="2"/>
        <v>2.2421524663677128</v>
      </c>
    </row>
    <row r="19" spans="2:21" x14ac:dyDescent="0.25">
      <c r="F19" s="154">
        <v>7</v>
      </c>
      <c r="G19" s="273">
        <f>'EXPERIMENTAL CONDITIONS'!C19</f>
        <v>5</v>
      </c>
      <c r="H19" s="149">
        <v>2.5000000000000001E-5</v>
      </c>
      <c r="I19" s="147">
        <f t="shared" si="6"/>
        <v>1.25E-4</v>
      </c>
      <c r="J19" s="265">
        <f>'EXPERIMENTAL CONDITIONS'!K19</f>
        <v>0</v>
      </c>
      <c r="K19" s="265">
        <f>'EXPERIMENTAL CONDITIONS'!L19</f>
        <v>62.5</v>
      </c>
      <c r="L19" s="265">
        <f>'EXPERIMENTAL CONDITIONS'!M19</f>
        <v>0</v>
      </c>
      <c r="M19" s="266">
        <f>'EXPERIMENTAL CONDITIONS'!N19</f>
        <v>0</v>
      </c>
      <c r="N19" s="267"/>
      <c r="O19" s="154">
        <f t="shared" si="7"/>
        <v>2.85</v>
      </c>
      <c r="P19" s="155">
        <f t="shared" si="3"/>
        <v>8.7719298245614029E-6</v>
      </c>
      <c r="Q19" s="156">
        <f t="shared" si="0"/>
        <v>4.3859649122807014E-5</v>
      </c>
      <c r="R19" s="156">
        <f t="shared" si="4"/>
        <v>5</v>
      </c>
      <c r="S19" s="158">
        <f t="shared" si="5"/>
        <v>1.0000000000000001E-5</v>
      </c>
      <c r="T19" s="159">
        <f t="shared" si="1"/>
        <v>4.3859649122807014E-5</v>
      </c>
      <c r="U19" s="208">
        <f t="shared" si="2"/>
        <v>4.3859649122807012</v>
      </c>
    </row>
    <row r="20" spans="2:21" x14ac:dyDescent="0.25">
      <c r="F20" s="154">
        <v>8</v>
      </c>
      <c r="G20" s="273">
        <f>'EXPERIMENTAL CONDITIONS'!C20</f>
        <v>7.5</v>
      </c>
      <c r="H20" s="149">
        <v>5.0000000000000002E-5</v>
      </c>
      <c r="I20" s="147">
        <f t="shared" si="6"/>
        <v>1.875E-4</v>
      </c>
      <c r="J20" s="265">
        <f>'EXPERIMENTAL CONDITIONS'!K20</f>
        <v>0</v>
      </c>
      <c r="K20" s="265">
        <f>'EXPERIMENTAL CONDITIONS'!L20</f>
        <v>62.5</v>
      </c>
      <c r="L20" s="265">
        <f>'EXPERIMENTAL CONDITIONS'!M20</f>
        <v>0</v>
      </c>
      <c r="M20" s="266">
        <f>'EXPERIMENTAL CONDITIONS'!N20</f>
        <v>0</v>
      </c>
      <c r="N20" s="267"/>
      <c r="O20" s="154">
        <f t="shared" si="7"/>
        <v>2.9125000000000001</v>
      </c>
      <c r="P20" s="155">
        <f t="shared" si="3"/>
        <v>8.5836909871244631E-6</v>
      </c>
      <c r="Q20" s="156">
        <f t="shared" si="0"/>
        <v>6.4377682403433481E-5</v>
      </c>
      <c r="R20" s="156">
        <f t="shared" si="4"/>
        <v>7.5000000000000009</v>
      </c>
      <c r="S20" s="158">
        <f t="shared" si="5"/>
        <v>1.0000000000000001E-5</v>
      </c>
      <c r="T20" s="159">
        <f t="shared" si="1"/>
        <v>6.4377682403433481E-5</v>
      </c>
      <c r="U20" s="208">
        <f t="shared" si="2"/>
        <v>6.4377682403433472</v>
      </c>
    </row>
    <row r="21" spans="2:21" x14ac:dyDescent="0.25">
      <c r="F21" s="154">
        <v>9</v>
      </c>
      <c r="G21" s="273">
        <f>'EXPERIMENTAL CONDITIONS'!C21</f>
        <v>10</v>
      </c>
      <c r="H21" s="149">
        <v>2.5000000000000001E-4</v>
      </c>
      <c r="I21" s="147">
        <f t="shared" si="6"/>
        <v>2.5000000000000001E-4</v>
      </c>
      <c r="J21" s="265">
        <f>'EXPERIMENTAL CONDITIONS'!K21</f>
        <v>0</v>
      </c>
      <c r="K21" s="265">
        <f>'EXPERIMENTAL CONDITIONS'!L21</f>
        <v>62.5</v>
      </c>
      <c r="L21" s="265">
        <f>'EXPERIMENTAL CONDITIONS'!M21</f>
        <v>0</v>
      </c>
      <c r="M21" s="266">
        <f>'EXPERIMENTAL CONDITIONS'!N21</f>
        <v>0</v>
      </c>
      <c r="N21" s="267"/>
      <c r="O21" s="154">
        <f t="shared" si="7"/>
        <v>2.9750000000000001</v>
      </c>
      <c r="P21" s="155">
        <f t="shared" si="3"/>
        <v>8.4033613445378154E-6</v>
      </c>
      <c r="Q21" s="156">
        <f t="shared" si="0"/>
        <v>8.4033613445378154E-5</v>
      </c>
      <c r="R21" s="156">
        <f t="shared" si="4"/>
        <v>10</v>
      </c>
      <c r="S21" s="158">
        <f t="shared" si="5"/>
        <v>1.0000000000000001E-5</v>
      </c>
      <c r="T21" s="159">
        <f t="shared" si="1"/>
        <v>8.4033613445378154E-5</v>
      </c>
      <c r="U21" s="208">
        <f t="shared" si="2"/>
        <v>8.4033613445378155</v>
      </c>
    </row>
    <row r="22" spans="2:21" ht="15.75" thickBot="1" x14ac:dyDescent="0.3">
      <c r="F22" s="154">
        <v>10</v>
      </c>
      <c r="G22" s="273">
        <f>'EXPERIMENTAL CONDITIONS'!C22</f>
        <v>20</v>
      </c>
      <c r="H22" s="149">
        <v>1E-3</v>
      </c>
      <c r="I22" s="147">
        <f t="shared" si="6"/>
        <v>5.0000000000000001E-4</v>
      </c>
      <c r="J22" s="265">
        <f>'EXPERIMENTAL CONDITIONS'!K22</f>
        <v>0</v>
      </c>
      <c r="K22" s="265">
        <f>'EXPERIMENTAL CONDITIONS'!L22</f>
        <v>0</v>
      </c>
      <c r="L22" s="265">
        <f>'EXPERIMENTAL CONDITIONS'!M22</f>
        <v>25</v>
      </c>
      <c r="M22" s="266">
        <f>'EXPERIMENTAL CONDITIONS'!N22</f>
        <v>0</v>
      </c>
      <c r="N22" s="268"/>
      <c r="O22" s="170">
        <f t="shared" si="7"/>
        <v>3</v>
      </c>
      <c r="P22" s="171">
        <f t="shared" si="3"/>
        <v>8.3333333333333337E-6</v>
      </c>
      <c r="Q22" s="172">
        <f t="shared" si="0"/>
        <v>1.6666666666666666E-4</v>
      </c>
      <c r="R22" s="172">
        <f t="shared" si="4"/>
        <v>20</v>
      </c>
      <c r="S22" s="174">
        <f t="shared" si="5"/>
        <v>1.0000000000000001E-5</v>
      </c>
      <c r="T22" s="175">
        <f t="shared" si="1"/>
        <v>1.6666666666666666E-4</v>
      </c>
      <c r="U22" s="209">
        <f t="shared" si="2"/>
        <v>16.666666666666664</v>
      </c>
    </row>
    <row r="23" spans="2:21" ht="15.75" thickBot="1" x14ac:dyDescent="0.3">
      <c r="F23" s="170">
        <v>11</v>
      </c>
      <c r="G23" s="274">
        <f>'EXPERIMENTAL CONDITIONS'!C23</f>
        <v>50</v>
      </c>
      <c r="H23" s="271">
        <v>1.0009999999999999</v>
      </c>
      <c r="I23" s="164">
        <f t="shared" si="6"/>
        <v>1.25E-3</v>
      </c>
      <c r="J23" s="269">
        <f>'EXPERIMENTAL CONDITIONS'!K23</f>
        <v>0</v>
      </c>
      <c r="K23" s="269">
        <f>'EXPERIMENTAL CONDITIONS'!L23</f>
        <v>0</v>
      </c>
      <c r="L23" s="269">
        <f>'EXPERIMENTAL CONDITIONS'!M23</f>
        <v>75</v>
      </c>
      <c r="M23" s="270">
        <f>'EXPERIMENTAL CONDITIONS'!N23</f>
        <v>0</v>
      </c>
      <c r="N23" s="268"/>
      <c r="O23" s="170">
        <f t="shared" si="7"/>
        <v>3.0750000000000002</v>
      </c>
      <c r="P23" s="171">
        <f t="shared" si="3"/>
        <v>8.1300813008130074E-6</v>
      </c>
      <c r="Q23" s="172">
        <f t="shared" si="0"/>
        <v>4.0650406504065041E-4</v>
      </c>
      <c r="R23" s="172">
        <f t="shared" si="4"/>
        <v>50.000000000000007</v>
      </c>
      <c r="S23" s="174">
        <f t="shared" si="5"/>
        <v>1.0000000000000001E-5</v>
      </c>
      <c r="T23" s="175">
        <f t="shared" si="1"/>
        <v>4.0650406504065041E-4</v>
      </c>
      <c r="U23" s="209">
        <f t="shared" si="2"/>
        <v>40.650406504065039</v>
      </c>
    </row>
    <row r="24" spans="2:21" x14ac:dyDescent="0.25">
      <c r="B24" s="177" t="s">
        <v>96</v>
      </c>
      <c r="N24" s="210"/>
      <c r="O24" s="210"/>
    </row>
    <row r="25" spans="2:21" x14ac:dyDescent="0.25">
      <c r="B25" s="178" t="s">
        <v>97</v>
      </c>
      <c r="L25" s="282" t="s">
        <v>108</v>
      </c>
      <c r="M25" s="282"/>
      <c r="N25" s="282"/>
      <c r="O25" s="282" t="s">
        <v>109</v>
      </c>
      <c r="P25" s="282"/>
      <c r="Q25" s="282"/>
      <c r="R25" s="211"/>
    </row>
    <row r="26" spans="2:21" s="143" customFormat="1" x14ac:dyDescent="0.25">
      <c r="F26"/>
      <c r="I26" s="143" t="s">
        <v>110</v>
      </c>
      <c r="J26" s="143" t="s">
        <v>38</v>
      </c>
      <c r="K26" s="143" t="s">
        <v>111</v>
      </c>
      <c r="L26" s="212" t="s">
        <v>112</v>
      </c>
      <c r="M26" s="213" t="s">
        <v>113</v>
      </c>
      <c r="N26" s="212" t="s">
        <v>114</v>
      </c>
      <c r="O26" s="214" t="s">
        <v>115</v>
      </c>
      <c r="P26" s="212" t="s">
        <v>116</v>
      </c>
      <c r="Q26" s="212" t="s">
        <v>117</v>
      </c>
    </row>
    <row r="27" spans="2:21" ht="15.75" thickBot="1" x14ac:dyDescent="0.3">
      <c r="B27" s="180" t="s">
        <v>98</v>
      </c>
      <c r="C27" s="179"/>
      <c r="D27" s="179"/>
      <c r="E27" s="179"/>
      <c r="I27" s="112">
        <f>S12</f>
        <v>1.0000000000000001E-5</v>
      </c>
      <c r="J27" s="112">
        <f t="shared" ref="J27:K38" si="8">T12</f>
        <v>0</v>
      </c>
      <c r="K27" s="215">
        <f t="shared" si="8"/>
        <v>0</v>
      </c>
      <c r="L27" s="216"/>
      <c r="M27" s="216"/>
      <c r="N27" s="216"/>
      <c r="O27" s="217"/>
      <c r="P27" s="218"/>
      <c r="Q27" s="218"/>
    </row>
    <row r="28" spans="2:21" x14ac:dyDescent="0.25">
      <c r="B28" s="181"/>
      <c r="C28" s="89" t="s">
        <v>87</v>
      </c>
      <c r="D28" s="89" t="s">
        <v>88</v>
      </c>
      <c r="E28" s="89" t="s">
        <v>89</v>
      </c>
      <c r="F28" s="128" t="s">
        <v>99</v>
      </c>
      <c r="I28" s="112">
        <f t="shared" ref="I28:I38" si="9">S13</f>
        <v>1.0000000000000001E-5</v>
      </c>
      <c r="J28" s="112">
        <f t="shared" si="8"/>
        <v>9.9009900990099039E-7</v>
      </c>
      <c r="K28" s="215">
        <f t="shared" si="8"/>
        <v>9.9009900990099028E-2</v>
      </c>
      <c r="L28" s="216"/>
      <c r="M28" s="216"/>
      <c r="N28" s="216"/>
      <c r="O28" s="217"/>
      <c r="P28" s="218"/>
      <c r="Q28" s="218"/>
    </row>
    <row r="29" spans="2:21" x14ac:dyDescent="0.25">
      <c r="B29" s="183" t="s">
        <v>101</v>
      </c>
      <c r="C29" s="210">
        <v>1</v>
      </c>
      <c r="D29" s="210">
        <v>1</v>
      </c>
      <c r="E29" s="210">
        <v>1</v>
      </c>
      <c r="F29" s="219">
        <v>1</v>
      </c>
      <c r="I29" s="112">
        <f t="shared" si="9"/>
        <v>1.0000000000000001E-5</v>
      </c>
      <c r="J29" s="112">
        <f t="shared" si="8"/>
        <v>2.4390243902439027E-6</v>
      </c>
      <c r="K29" s="215">
        <f t="shared" si="8"/>
        <v>0.24390243902439027</v>
      </c>
      <c r="L29" s="216"/>
      <c r="M29" s="216"/>
      <c r="N29" s="216"/>
      <c r="O29" s="217"/>
      <c r="P29" s="218"/>
      <c r="Q29" s="218"/>
    </row>
    <row r="30" spans="2:21" x14ac:dyDescent="0.25">
      <c r="B30" s="183" t="str">
        <f>"["&amp;C5&amp;"]"</f>
        <v>[Ba(ClO4)2]</v>
      </c>
      <c r="C30" s="186">
        <f>D30/10</f>
        <v>2.4864080326445149E-4</v>
      </c>
      <c r="D30" s="186">
        <f>E30/4</f>
        <v>2.486408032644515E-3</v>
      </c>
      <c r="E30" s="186">
        <f>F30/10</f>
        <v>9.9456321305780599E-3</v>
      </c>
      <c r="F30" s="220">
        <f>(F31/C6)/F29</f>
        <v>9.9456321305780596E-2</v>
      </c>
      <c r="I30" s="112">
        <f t="shared" si="9"/>
        <v>1.0000000000000001E-5</v>
      </c>
      <c r="J30" s="112">
        <f t="shared" si="8"/>
        <v>4.7619047619047624E-6</v>
      </c>
      <c r="K30" s="215">
        <f t="shared" si="8"/>
        <v>0.47619047619047622</v>
      </c>
      <c r="L30" s="216"/>
      <c r="M30" s="216"/>
      <c r="N30" s="216"/>
      <c r="O30" s="217"/>
      <c r="P30" s="218"/>
      <c r="Q30" s="218"/>
    </row>
    <row r="31" spans="2:21" ht="15.75" thickBot="1" x14ac:dyDescent="0.3">
      <c r="B31" s="187" t="str">
        <f>"mg "&amp;C5</f>
        <v>mg Ba(ClO4)2</v>
      </c>
      <c r="C31" s="221"/>
      <c r="D31" s="221"/>
      <c r="E31" s="221"/>
      <c r="F31" s="198">
        <v>33.44</v>
      </c>
      <c r="I31" s="112">
        <f t="shared" si="9"/>
        <v>1.0000000000000001E-5</v>
      </c>
      <c r="J31" s="112">
        <f t="shared" si="8"/>
        <v>6.9767441860465119E-6</v>
      </c>
      <c r="K31" s="215">
        <f t="shared" si="8"/>
        <v>0.69767441860465118</v>
      </c>
      <c r="L31" s="216"/>
      <c r="M31" s="216"/>
      <c r="N31" s="216"/>
      <c r="O31" s="217"/>
      <c r="P31" s="218"/>
      <c r="Q31" s="218"/>
    </row>
    <row r="32" spans="2:21" x14ac:dyDescent="0.25">
      <c r="I32" s="112">
        <f t="shared" si="9"/>
        <v>1.0000000000000001E-5</v>
      </c>
      <c r="J32" s="112">
        <f t="shared" si="8"/>
        <v>9.090909090909091E-6</v>
      </c>
      <c r="K32" s="215">
        <f t="shared" si="8"/>
        <v>0.90909090909090906</v>
      </c>
      <c r="L32" s="216"/>
      <c r="M32" s="216"/>
      <c r="N32" s="216"/>
      <c r="O32" s="217"/>
      <c r="P32" s="218"/>
      <c r="Q32" s="218"/>
    </row>
    <row r="33" spans="2:21" x14ac:dyDescent="0.25">
      <c r="B33" s="180" t="s">
        <v>102</v>
      </c>
      <c r="I33" s="112">
        <f t="shared" si="9"/>
        <v>1.0000000000000001E-5</v>
      </c>
      <c r="J33" s="112">
        <f t="shared" si="8"/>
        <v>2.2421524663677129E-5</v>
      </c>
      <c r="K33" s="215">
        <f t="shared" si="8"/>
        <v>2.2421524663677128</v>
      </c>
      <c r="L33" s="216"/>
      <c r="M33" s="216"/>
      <c r="N33" s="216"/>
      <c r="O33" s="217"/>
      <c r="P33" s="218"/>
      <c r="Q33" s="218"/>
    </row>
    <row r="34" spans="2:21" ht="15.75" thickBot="1" x14ac:dyDescent="0.3">
      <c r="C34" s="179" t="s">
        <v>103</v>
      </c>
      <c r="E34" s="179" t="s">
        <v>104</v>
      </c>
      <c r="I34" s="112">
        <f t="shared" si="9"/>
        <v>1.0000000000000001E-5</v>
      </c>
      <c r="J34" s="112">
        <f t="shared" si="8"/>
        <v>4.3859649122807014E-5</v>
      </c>
      <c r="K34" s="215">
        <f t="shared" si="8"/>
        <v>4.3859649122807012</v>
      </c>
      <c r="L34" s="216"/>
      <c r="M34" s="216"/>
      <c r="N34" s="216"/>
      <c r="O34" s="217"/>
      <c r="P34" s="218"/>
      <c r="Q34" s="218"/>
    </row>
    <row r="35" spans="2:21" x14ac:dyDescent="0.25">
      <c r="B35" s="190" t="s">
        <v>101</v>
      </c>
      <c r="C35" s="191">
        <v>25</v>
      </c>
      <c r="E35" s="109" t="str">
        <f>"["&amp;C3&amp;"]"</f>
        <v>[AAN219]</v>
      </c>
      <c r="F35" s="192">
        <f>C7</f>
        <v>1.0000000000000001E-5</v>
      </c>
      <c r="I35" s="112">
        <f t="shared" si="9"/>
        <v>1.0000000000000001E-5</v>
      </c>
      <c r="J35" s="112">
        <f t="shared" si="8"/>
        <v>6.4377682403433481E-5</v>
      </c>
      <c r="K35" s="215">
        <f t="shared" si="8"/>
        <v>6.4377682403433472</v>
      </c>
      <c r="L35" s="216"/>
      <c r="M35" s="216"/>
      <c r="N35" s="216"/>
      <c r="O35" s="217"/>
      <c r="P35" s="218"/>
      <c r="Q35" s="218"/>
    </row>
    <row r="36" spans="2:21" x14ac:dyDescent="0.25">
      <c r="B36" s="183" t="str">
        <f>"["&amp;C3&amp;"]"</f>
        <v>[AAN219]</v>
      </c>
      <c r="C36" s="193">
        <v>1E-4</v>
      </c>
      <c r="E36" s="194" t="s">
        <v>105</v>
      </c>
      <c r="F36" s="195">
        <f>F38*F35/C36</f>
        <v>1</v>
      </c>
      <c r="I36" s="112">
        <f t="shared" si="9"/>
        <v>1.0000000000000001E-5</v>
      </c>
      <c r="J36" s="112">
        <f t="shared" si="8"/>
        <v>8.4033613445378154E-5</v>
      </c>
      <c r="K36" s="215">
        <f t="shared" si="8"/>
        <v>8.4033613445378155</v>
      </c>
      <c r="L36" s="216"/>
      <c r="M36" s="216"/>
      <c r="N36" s="216"/>
      <c r="O36" s="217"/>
      <c r="P36" s="218"/>
      <c r="Q36" s="218"/>
    </row>
    <row r="37" spans="2:21" ht="15.75" thickBot="1" x14ac:dyDescent="0.3">
      <c r="B37" s="187" t="str">
        <f>"mg "&amp;C3</f>
        <v>mg AAN219</v>
      </c>
      <c r="C37" s="196">
        <f>C35*C36*$C$4</f>
        <v>2.5766000000000004</v>
      </c>
      <c r="E37" s="194" t="s">
        <v>106</v>
      </c>
      <c r="F37" s="195">
        <f>F38-F36</f>
        <v>9</v>
      </c>
      <c r="I37" s="112">
        <f t="shared" si="9"/>
        <v>1.0000000000000001E-5</v>
      </c>
      <c r="J37" s="112">
        <f t="shared" si="8"/>
        <v>1.6666666666666666E-4</v>
      </c>
      <c r="K37" s="215">
        <f t="shared" si="8"/>
        <v>16.666666666666664</v>
      </c>
      <c r="L37" s="216"/>
      <c r="M37" s="216"/>
      <c r="N37" s="216"/>
      <c r="O37" s="217"/>
      <c r="P37" s="218"/>
      <c r="Q37" s="218"/>
    </row>
    <row r="38" spans="2:21" ht="15.75" thickBot="1" x14ac:dyDescent="0.3">
      <c r="E38" s="197" t="s">
        <v>107</v>
      </c>
      <c r="F38" s="198">
        <v>10</v>
      </c>
      <c r="I38" s="112">
        <f t="shared" si="9"/>
        <v>1.0000000000000001E-5</v>
      </c>
      <c r="J38" s="112">
        <f t="shared" si="8"/>
        <v>4.0650406504065041E-4</v>
      </c>
      <c r="K38" s="215">
        <f t="shared" si="8"/>
        <v>40.650406504065039</v>
      </c>
      <c r="L38" s="216"/>
      <c r="M38" s="216"/>
      <c r="N38" s="216"/>
      <c r="O38" s="217"/>
      <c r="P38" s="218"/>
      <c r="Q38" s="218"/>
    </row>
    <row r="39" spans="2:21" x14ac:dyDescent="0.25">
      <c r="N39" s="210"/>
      <c r="O39" s="210"/>
    </row>
    <row r="46" spans="2:21" x14ac:dyDescent="0.25">
      <c r="Q46" s="60"/>
      <c r="R46" s="60"/>
      <c r="S46" s="60"/>
      <c r="T46" s="60"/>
      <c r="U46" s="60"/>
    </row>
    <row r="47" spans="2:21" x14ac:dyDescent="0.25">
      <c r="Q47" s="222"/>
      <c r="R47" s="130"/>
      <c r="S47" s="222"/>
      <c r="T47" s="222"/>
      <c r="U47" s="222"/>
    </row>
    <row r="48" spans="2:21" x14ac:dyDescent="0.25">
      <c r="Q48" s="60"/>
      <c r="R48" s="60"/>
      <c r="S48" s="60"/>
      <c r="T48" s="60"/>
      <c r="U48" s="60"/>
    </row>
    <row r="49" spans="17:21" x14ac:dyDescent="0.25">
      <c r="Q49" s="60"/>
      <c r="R49" s="60"/>
      <c r="S49" s="60"/>
      <c r="T49" s="60"/>
      <c r="U49" s="60"/>
    </row>
    <row r="50" spans="17:21" x14ac:dyDescent="0.25">
      <c r="Q50" s="60"/>
      <c r="R50" s="60"/>
      <c r="S50" s="60"/>
      <c r="T50" s="60"/>
      <c r="U50" s="60"/>
    </row>
    <row r="51" spans="17:21" x14ac:dyDescent="0.25">
      <c r="Q51" s="60"/>
      <c r="R51" s="60"/>
      <c r="S51" s="60"/>
      <c r="T51" s="60"/>
      <c r="U51" s="60"/>
    </row>
    <row r="52" spans="17:21" x14ac:dyDescent="0.25">
      <c r="Q52" s="60"/>
      <c r="R52" s="60"/>
      <c r="S52" s="60"/>
      <c r="T52" s="60"/>
      <c r="U52" s="60"/>
    </row>
    <row r="53" spans="17:21" x14ac:dyDescent="0.25">
      <c r="Q53" s="60"/>
      <c r="R53" s="60"/>
      <c r="S53" s="60"/>
      <c r="T53" s="60"/>
      <c r="U53" s="60"/>
    </row>
    <row r="54" spans="17:21" x14ac:dyDescent="0.25">
      <c r="Q54" s="60"/>
      <c r="R54" s="60"/>
      <c r="S54" s="60"/>
      <c r="T54" s="60"/>
      <c r="U54" s="60"/>
    </row>
    <row r="55" spans="17:21" x14ac:dyDescent="0.25">
      <c r="Q55" s="60"/>
      <c r="R55" s="60"/>
      <c r="S55" s="60"/>
      <c r="T55" s="60"/>
      <c r="U55" s="60"/>
    </row>
    <row r="56" spans="17:21" x14ac:dyDescent="0.25">
      <c r="Q56" s="60"/>
      <c r="R56" s="60"/>
      <c r="S56" s="60"/>
      <c r="T56" s="60"/>
      <c r="U56" s="60"/>
    </row>
    <row r="57" spans="17:21" x14ac:dyDescent="0.25">
      <c r="Q57" s="60"/>
      <c r="R57" s="60"/>
      <c r="S57" s="60"/>
      <c r="T57" s="60"/>
      <c r="U57" s="60"/>
    </row>
    <row r="58" spans="17:21" x14ac:dyDescent="0.25">
      <c r="Q58" s="60"/>
      <c r="R58" s="60"/>
      <c r="S58" s="60"/>
      <c r="T58" s="60"/>
      <c r="U58" s="60"/>
    </row>
    <row r="59" spans="17:21" x14ac:dyDescent="0.25">
      <c r="Q59" s="60"/>
      <c r="R59" s="60"/>
      <c r="S59" s="60"/>
      <c r="T59" s="60"/>
      <c r="U59" s="60"/>
    </row>
    <row r="60" spans="17:21" x14ac:dyDescent="0.25">
      <c r="Q60" s="60"/>
      <c r="R60" s="60"/>
      <c r="S60" s="60"/>
      <c r="T60" s="60"/>
      <c r="U60" s="60"/>
    </row>
    <row r="61" spans="17:21" x14ac:dyDescent="0.25">
      <c r="Q61" s="60"/>
      <c r="R61" s="60"/>
      <c r="S61" s="60"/>
      <c r="T61" s="60"/>
      <c r="U61" s="60"/>
    </row>
  </sheetData>
  <mergeCells count="4">
    <mergeCell ref="F8:I8"/>
    <mergeCell ref="J8:M8"/>
    <mergeCell ref="L25:N25"/>
    <mergeCell ref="O25:Q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3"/>
  <sheetViews>
    <sheetView topLeftCell="A569" workbookViewId="0">
      <selection activeCell="B3" sqref="B3:M605"/>
    </sheetView>
  </sheetViews>
  <sheetFormatPr baseColWidth="10" defaultRowHeight="15" x14ac:dyDescent="0.25"/>
  <sheetData>
    <row r="1" spans="1:13" s="223" customFormat="1" ht="11.25" x14ac:dyDescent="0.2">
      <c r="A1" s="223" t="s">
        <v>118</v>
      </c>
    </row>
    <row r="2" spans="1:13" s="224" customFormat="1" ht="11.25" x14ac:dyDescent="0.2">
      <c r="B2" s="225" t="s">
        <v>119</v>
      </c>
      <c r="C2" s="225" t="s">
        <v>120</v>
      </c>
      <c r="D2" s="225" t="s">
        <v>121</v>
      </c>
      <c r="E2" s="225" t="s">
        <v>122</v>
      </c>
      <c r="F2" s="225" t="s">
        <v>123</v>
      </c>
      <c r="G2" s="225" t="s">
        <v>124</v>
      </c>
      <c r="H2" s="225" t="s">
        <v>125</v>
      </c>
      <c r="I2" s="225" t="s">
        <v>126</v>
      </c>
      <c r="J2" s="225" t="s">
        <v>127</v>
      </c>
      <c r="K2" s="225" t="s">
        <v>128</v>
      </c>
      <c r="L2" s="225" t="s">
        <v>129</v>
      </c>
      <c r="M2" s="225" t="s">
        <v>130</v>
      </c>
    </row>
    <row r="3" spans="1:13" x14ac:dyDescent="0.25">
      <c r="A3">
        <v>800</v>
      </c>
      <c r="B3" s="3"/>
      <c r="C3" s="3"/>
      <c r="E3" s="3"/>
      <c r="L3" s="3"/>
    </row>
    <row r="4" spans="1:13" x14ac:dyDescent="0.25">
      <c r="A4">
        <v>799</v>
      </c>
      <c r="C4" s="3"/>
      <c r="D4" s="3"/>
      <c r="E4" s="3"/>
      <c r="F4" s="3"/>
      <c r="L4" s="3"/>
    </row>
    <row r="5" spans="1:13" x14ac:dyDescent="0.25">
      <c r="A5">
        <v>798</v>
      </c>
      <c r="C5" s="3"/>
      <c r="D5" s="3"/>
      <c r="E5" s="3"/>
      <c r="F5" s="3"/>
      <c r="L5" s="3"/>
    </row>
    <row r="6" spans="1:13" x14ac:dyDescent="0.25">
      <c r="A6">
        <v>797</v>
      </c>
      <c r="B6" s="3"/>
      <c r="C6" s="3"/>
      <c r="D6" s="3"/>
      <c r="E6" s="3"/>
      <c r="L6" s="3"/>
    </row>
    <row r="7" spans="1:13" x14ac:dyDescent="0.25">
      <c r="A7">
        <v>796</v>
      </c>
      <c r="B7" s="3"/>
      <c r="C7" s="3"/>
      <c r="E7" s="3"/>
      <c r="L7" s="3"/>
    </row>
    <row r="8" spans="1:13" x14ac:dyDescent="0.25">
      <c r="A8">
        <v>795</v>
      </c>
      <c r="C8" s="3"/>
      <c r="E8" s="3"/>
      <c r="L8" s="3"/>
    </row>
    <row r="9" spans="1:13" x14ac:dyDescent="0.25">
      <c r="A9">
        <v>794</v>
      </c>
      <c r="C9" s="3"/>
      <c r="E9" s="3"/>
      <c r="L9" s="3"/>
    </row>
    <row r="10" spans="1:13" x14ac:dyDescent="0.25">
      <c r="A10">
        <v>793</v>
      </c>
      <c r="B10" s="3"/>
      <c r="C10" s="3"/>
      <c r="E10" s="3"/>
      <c r="L10" s="3"/>
    </row>
    <row r="11" spans="1:13" x14ac:dyDescent="0.25">
      <c r="A11">
        <v>792</v>
      </c>
      <c r="B11" s="3"/>
      <c r="C11" s="3"/>
      <c r="D11" s="3"/>
      <c r="L11" s="3"/>
    </row>
    <row r="12" spans="1:13" x14ac:dyDescent="0.25">
      <c r="A12">
        <v>791</v>
      </c>
      <c r="C12" s="3"/>
    </row>
    <row r="13" spans="1:13" x14ac:dyDescent="0.25">
      <c r="A13">
        <v>790</v>
      </c>
      <c r="B13" s="3"/>
      <c r="C13" s="3"/>
      <c r="L13" s="3"/>
    </row>
    <row r="14" spans="1:13" x14ac:dyDescent="0.25">
      <c r="A14">
        <v>789</v>
      </c>
      <c r="B14" s="3"/>
      <c r="L14" s="3"/>
    </row>
    <row r="15" spans="1:13" x14ac:dyDescent="0.25">
      <c r="A15">
        <v>788</v>
      </c>
      <c r="E15" s="3"/>
    </row>
    <row r="16" spans="1:13" x14ac:dyDescent="0.25">
      <c r="A16">
        <v>787</v>
      </c>
      <c r="C16" s="3"/>
    </row>
    <row r="17" spans="1:12" x14ac:dyDescent="0.25">
      <c r="A17">
        <v>786</v>
      </c>
    </row>
    <row r="18" spans="1:12" x14ac:dyDescent="0.25">
      <c r="A18">
        <v>785</v>
      </c>
      <c r="E18" s="3"/>
      <c r="L18" s="3"/>
    </row>
    <row r="19" spans="1:12" x14ac:dyDescent="0.25">
      <c r="A19">
        <v>784</v>
      </c>
      <c r="C19" s="3"/>
    </row>
    <row r="20" spans="1:12" x14ac:dyDescent="0.25">
      <c r="A20">
        <v>783</v>
      </c>
    </row>
    <row r="21" spans="1:12" x14ac:dyDescent="0.25">
      <c r="A21">
        <v>782</v>
      </c>
    </row>
    <row r="22" spans="1:12" x14ac:dyDescent="0.25">
      <c r="A22">
        <v>781</v>
      </c>
      <c r="L22" s="3"/>
    </row>
    <row r="23" spans="1:12" x14ac:dyDescent="0.25">
      <c r="A23">
        <v>780</v>
      </c>
      <c r="B23" s="3"/>
      <c r="C23" s="3"/>
    </row>
    <row r="24" spans="1:12" x14ac:dyDescent="0.25">
      <c r="A24">
        <v>779</v>
      </c>
      <c r="C24" s="3"/>
      <c r="E24" s="3"/>
    </row>
    <row r="25" spans="1:12" x14ac:dyDescent="0.25">
      <c r="A25">
        <v>778</v>
      </c>
    </row>
    <row r="26" spans="1:12" x14ac:dyDescent="0.25">
      <c r="A26">
        <v>777</v>
      </c>
      <c r="C26" s="3"/>
      <c r="E26" s="3"/>
    </row>
    <row r="27" spans="1:12" x14ac:dyDescent="0.25">
      <c r="A27">
        <v>776</v>
      </c>
    </row>
    <row r="28" spans="1:12" x14ac:dyDescent="0.25">
      <c r="A28">
        <v>775</v>
      </c>
    </row>
    <row r="29" spans="1:12" x14ac:dyDescent="0.25">
      <c r="A29">
        <v>774</v>
      </c>
      <c r="B29" s="3"/>
    </row>
    <row r="30" spans="1:12" x14ac:dyDescent="0.25">
      <c r="A30">
        <v>773</v>
      </c>
      <c r="B30" s="3"/>
      <c r="C30" s="3"/>
    </row>
    <row r="31" spans="1:12" x14ac:dyDescent="0.25">
      <c r="A31">
        <v>772</v>
      </c>
    </row>
    <row r="32" spans="1:12" x14ac:dyDescent="0.25">
      <c r="A32">
        <v>771</v>
      </c>
      <c r="B32" s="3"/>
    </row>
    <row r="33" spans="1:5" x14ac:dyDescent="0.25">
      <c r="A33">
        <v>770</v>
      </c>
      <c r="E33" s="3"/>
    </row>
    <row r="34" spans="1:5" x14ac:dyDescent="0.25">
      <c r="A34">
        <v>769</v>
      </c>
    </row>
    <row r="35" spans="1:5" x14ac:dyDescent="0.25">
      <c r="A35">
        <v>768</v>
      </c>
    </row>
    <row r="36" spans="1:5" x14ac:dyDescent="0.25">
      <c r="A36">
        <v>767</v>
      </c>
    </row>
    <row r="37" spans="1:5" x14ac:dyDescent="0.25">
      <c r="A37">
        <v>766</v>
      </c>
    </row>
    <row r="38" spans="1:5" x14ac:dyDescent="0.25">
      <c r="A38">
        <v>765</v>
      </c>
    </row>
    <row r="39" spans="1:5" x14ac:dyDescent="0.25">
      <c r="A39">
        <v>764</v>
      </c>
    </row>
    <row r="40" spans="1:5" x14ac:dyDescent="0.25">
      <c r="A40">
        <v>763</v>
      </c>
    </row>
    <row r="41" spans="1:5" x14ac:dyDescent="0.25">
      <c r="A41">
        <v>762</v>
      </c>
      <c r="C41" s="3"/>
    </row>
    <row r="42" spans="1:5" x14ac:dyDescent="0.25">
      <c r="A42">
        <v>761</v>
      </c>
    </row>
    <row r="43" spans="1:5" x14ac:dyDescent="0.25">
      <c r="A43">
        <v>760</v>
      </c>
      <c r="C43" s="3"/>
    </row>
    <row r="44" spans="1:5" x14ac:dyDescent="0.25">
      <c r="A44">
        <v>759</v>
      </c>
    </row>
    <row r="45" spans="1:5" x14ac:dyDescent="0.25">
      <c r="A45">
        <v>758</v>
      </c>
      <c r="C45" s="3"/>
    </row>
    <row r="46" spans="1:5" x14ac:dyDescent="0.25">
      <c r="A46">
        <v>757</v>
      </c>
    </row>
    <row r="47" spans="1:5" x14ac:dyDescent="0.25">
      <c r="A47">
        <v>756</v>
      </c>
    </row>
    <row r="48" spans="1:5" x14ac:dyDescent="0.25">
      <c r="A48">
        <v>755</v>
      </c>
    </row>
    <row r="49" spans="1:1" x14ac:dyDescent="0.25">
      <c r="A49">
        <v>754</v>
      </c>
    </row>
    <row r="50" spans="1:1" x14ac:dyDescent="0.25">
      <c r="A50">
        <v>753</v>
      </c>
    </row>
    <row r="51" spans="1:1" x14ac:dyDescent="0.25">
      <c r="A51">
        <v>752</v>
      </c>
    </row>
    <row r="52" spans="1:1" x14ac:dyDescent="0.25">
      <c r="A52">
        <v>751</v>
      </c>
    </row>
    <row r="53" spans="1:1" x14ac:dyDescent="0.25">
      <c r="A53">
        <v>750</v>
      </c>
    </row>
    <row r="54" spans="1:1" x14ac:dyDescent="0.25">
      <c r="A54">
        <v>749</v>
      </c>
    </row>
    <row r="55" spans="1:1" x14ac:dyDescent="0.25">
      <c r="A55">
        <v>748</v>
      </c>
    </row>
    <row r="56" spans="1:1" x14ac:dyDescent="0.25">
      <c r="A56">
        <v>747</v>
      </c>
    </row>
    <row r="57" spans="1:1" x14ac:dyDescent="0.25">
      <c r="A57">
        <v>746</v>
      </c>
    </row>
    <row r="58" spans="1:1" x14ac:dyDescent="0.25">
      <c r="A58">
        <v>745</v>
      </c>
    </row>
    <row r="59" spans="1:1" x14ac:dyDescent="0.25">
      <c r="A59">
        <v>744</v>
      </c>
    </row>
    <row r="60" spans="1:1" x14ac:dyDescent="0.25">
      <c r="A60">
        <v>743</v>
      </c>
    </row>
    <row r="61" spans="1:1" x14ac:dyDescent="0.25">
      <c r="A61">
        <v>742</v>
      </c>
    </row>
    <row r="62" spans="1:1" x14ac:dyDescent="0.25">
      <c r="A62">
        <v>741</v>
      </c>
    </row>
    <row r="63" spans="1:1" x14ac:dyDescent="0.25">
      <c r="A63">
        <v>740</v>
      </c>
    </row>
    <row r="64" spans="1:1" x14ac:dyDescent="0.25">
      <c r="A64">
        <v>739</v>
      </c>
    </row>
    <row r="65" spans="1:1" x14ac:dyDescent="0.25">
      <c r="A65">
        <v>738</v>
      </c>
    </row>
    <row r="66" spans="1:1" x14ac:dyDescent="0.25">
      <c r="A66">
        <v>737</v>
      </c>
    </row>
    <row r="67" spans="1:1" x14ac:dyDescent="0.25">
      <c r="A67">
        <v>736</v>
      </c>
    </row>
    <row r="68" spans="1:1" x14ac:dyDescent="0.25">
      <c r="A68">
        <v>735</v>
      </c>
    </row>
    <row r="69" spans="1:1" x14ac:dyDescent="0.25">
      <c r="A69">
        <v>734</v>
      </c>
    </row>
    <row r="70" spans="1:1" x14ac:dyDescent="0.25">
      <c r="A70">
        <v>733</v>
      </c>
    </row>
    <row r="71" spans="1:1" x14ac:dyDescent="0.25">
      <c r="A71">
        <v>732</v>
      </c>
    </row>
    <row r="72" spans="1:1" x14ac:dyDescent="0.25">
      <c r="A72">
        <v>731</v>
      </c>
    </row>
    <row r="73" spans="1:1" x14ac:dyDescent="0.25">
      <c r="A73">
        <v>730</v>
      </c>
    </row>
    <row r="74" spans="1:1" x14ac:dyDescent="0.25">
      <c r="A74">
        <v>729</v>
      </c>
    </row>
    <row r="75" spans="1:1" x14ac:dyDescent="0.25">
      <c r="A75">
        <v>728</v>
      </c>
    </row>
    <row r="76" spans="1:1" x14ac:dyDescent="0.25">
      <c r="A76">
        <v>727</v>
      </c>
    </row>
    <row r="77" spans="1:1" x14ac:dyDescent="0.25">
      <c r="A77">
        <v>726</v>
      </c>
    </row>
    <row r="78" spans="1:1" x14ac:dyDescent="0.25">
      <c r="A78">
        <v>725</v>
      </c>
    </row>
    <row r="79" spans="1:1" x14ac:dyDescent="0.25">
      <c r="A79">
        <v>724</v>
      </c>
    </row>
    <row r="80" spans="1:1" x14ac:dyDescent="0.25">
      <c r="A80">
        <v>723</v>
      </c>
    </row>
    <row r="81" spans="1:1" x14ac:dyDescent="0.25">
      <c r="A81">
        <v>722</v>
      </c>
    </row>
    <row r="82" spans="1:1" x14ac:dyDescent="0.25">
      <c r="A82">
        <v>721</v>
      </c>
    </row>
    <row r="83" spans="1:1" x14ac:dyDescent="0.25">
      <c r="A83">
        <v>720</v>
      </c>
    </row>
    <row r="84" spans="1:1" x14ac:dyDescent="0.25">
      <c r="A84">
        <v>719</v>
      </c>
    </row>
    <row r="85" spans="1:1" x14ac:dyDescent="0.25">
      <c r="A85">
        <v>718</v>
      </c>
    </row>
    <row r="86" spans="1:1" x14ac:dyDescent="0.25">
      <c r="A86">
        <v>717</v>
      </c>
    </row>
    <row r="87" spans="1:1" x14ac:dyDescent="0.25">
      <c r="A87">
        <v>716</v>
      </c>
    </row>
    <row r="88" spans="1:1" x14ac:dyDescent="0.25">
      <c r="A88">
        <v>715</v>
      </c>
    </row>
    <row r="89" spans="1:1" x14ac:dyDescent="0.25">
      <c r="A89">
        <v>714</v>
      </c>
    </row>
    <row r="90" spans="1:1" x14ac:dyDescent="0.25">
      <c r="A90">
        <v>713</v>
      </c>
    </row>
    <row r="91" spans="1:1" x14ac:dyDescent="0.25">
      <c r="A91">
        <v>712</v>
      </c>
    </row>
    <row r="92" spans="1:1" x14ac:dyDescent="0.25">
      <c r="A92">
        <v>711</v>
      </c>
    </row>
    <row r="93" spans="1:1" x14ac:dyDescent="0.25">
      <c r="A93">
        <v>710</v>
      </c>
    </row>
    <row r="94" spans="1:1" x14ac:dyDescent="0.25">
      <c r="A94">
        <v>709</v>
      </c>
    </row>
    <row r="95" spans="1:1" x14ac:dyDescent="0.25">
      <c r="A95">
        <v>708</v>
      </c>
    </row>
    <row r="96" spans="1:1" x14ac:dyDescent="0.25">
      <c r="A96">
        <v>707</v>
      </c>
    </row>
    <row r="97" spans="1:1" x14ac:dyDescent="0.25">
      <c r="A97">
        <v>706</v>
      </c>
    </row>
    <row r="98" spans="1:1" x14ac:dyDescent="0.25">
      <c r="A98">
        <v>705</v>
      </c>
    </row>
    <row r="99" spans="1:1" x14ac:dyDescent="0.25">
      <c r="A99">
        <v>704</v>
      </c>
    </row>
    <row r="100" spans="1:1" x14ac:dyDescent="0.25">
      <c r="A100">
        <v>703</v>
      </c>
    </row>
    <row r="101" spans="1:1" x14ac:dyDescent="0.25">
      <c r="A101">
        <v>702</v>
      </c>
    </row>
    <row r="102" spans="1:1" x14ac:dyDescent="0.25">
      <c r="A102">
        <v>701</v>
      </c>
    </row>
    <row r="103" spans="1:1" x14ac:dyDescent="0.25">
      <c r="A103">
        <v>700</v>
      </c>
    </row>
    <row r="104" spans="1:1" x14ac:dyDescent="0.25">
      <c r="A104">
        <v>699</v>
      </c>
    </row>
    <row r="105" spans="1:1" x14ac:dyDescent="0.25">
      <c r="A105">
        <v>698</v>
      </c>
    </row>
    <row r="106" spans="1:1" x14ac:dyDescent="0.25">
      <c r="A106">
        <v>697</v>
      </c>
    </row>
    <row r="107" spans="1:1" x14ac:dyDescent="0.25">
      <c r="A107">
        <v>696</v>
      </c>
    </row>
    <row r="108" spans="1:1" x14ac:dyDescent="0.25">
      <c r="A108">
        <v>695</v>
      </c>
    </row>
    <row r="109" spans="1:1" x14ac:dyDescent="0.25">
      <c r="A109">
        <v>694</v>
      </c>
    </row>
    <row r="110" spans="1:1" x14ac:dyDescent="0.25">
      <c r="A110">
        <v>693</v>
      </c>
    </row>
    <row r="111" spans="1:1" x14ac:dyDescent="0.25">
      <c r="A111">
        <v>692</v>
      </c>
    </row>
    <row r="112" spans="1:1" x14ac:dyDescent="0.25">
      <c r="A112">
        <v>691</v>
      </c>
    </row>
    <row r="113" spans="1:1" x14ac:dyDescent="0.25">
      <c r="A113">
        <v>690</v>
      </c>
    </row>
    <row r="114" spans="1:1" x14ac:dyDescent="0.25">
      <c r="A114">
        <v>689</v>
      </c>
    </row>
    <row r="115" spans="1:1" x14ac:dyDescent="0.25">
      <c r="A115">
        <v>688</v>
      </c>
    </row>
    <row r="116" spans="1:1" x14ac:dyDescent="0.25">
      <c r="A116">
        <v>687</v>
      </c>
    </row>
    <row r="117" spans="1:1" x14ac:dyDescent="0.25">
      <c r="A117">
        <v>686</v>
      </c>
    </row>
    <row r="118" spans="1:1" x14ac:dyDescent="0.25">
      <c r="A118">
        <v>685</v>
      </c>
    </row>
    <row r="119" spans="1:1" x14ac:dyDescent="0.25">
      <c r="A119">
        <v>684</v>
      </c>
    </row>
    <row r="120" spans="1:1" x14ac:dyDescent="0.25">
      <c r="A120">
        <v>683</v>
      </c>
    </row>
    <row r="121" spans="1:1" x14ac:dyDescent="0.25">
      <c r="A121">
        <v>682</v>
      </c>
    </row>
    <row r="122" spans="1:1" x14ac:dyDescent="0.25">
      <c r="A122">
        <v>681</v>
      </c>
    </row>
    <row r="123" spans="1:1" x14ac:dyDescent="0.25">
      <c r="A123">
        <v>680</v>
      </c>
    </row>
    <row r="124" spans="1:1" x14ac:dyDescent="0.25">
      <c r="A124">
        <v>679</v>
      </c>
    </row>
    <row r="125" spans="1:1" x14ac:dyDescent="0.25">
      <c r="A125">
        <v>678</v>
      </c>
    </row>
    <row r="126" spans="1:1" x14ac:dyDescent="0.25">
      <c r="A126">
        <v>677</v>
      </c>
    </row>
    <row r="127" spans="1:1" x14ac:dyDescent="0.25">
      <c r="A127">
        <v>676</v>
      </c>
    </row>
    <row r="128" spans="1:1" x14ac:dyDescent="0.25">
      <c r="A128">
        <v>675</v>
      </c>
    </row>
    <row r="129" spans="1:1" x14ac:dyDescent="0.25">
      <c r="A129">
        <v>674</v>
      </c>
    </row>
    <row r="130" spans="1:1" x14ac:dyDescent="0.25">
      <c r="A130">
        <v>673</v>
      </c>
    </row>
    <row r="131" spans="1:1" x14ac:dyDescent="0.25">
      <c r="A131">
        <v>672</v>
      </c>
    </row>
    <row r="132" spans="1:1" x14ac:dyDescent="0.25">
      <c r="A132">
        <v>671</v>
      </c>
    </row>
    <row r="133" spans="1:1" x14ac:dyDescent="0.25">
      <c r="A133">
        <v>670</v>
      </c>
    </row>
    <row r="134" spans="1:1" x14ac:dyDescent="0.25">
      <c r="A134">
        <v>669</v>
      </c>
    </row>
    <row r="135" spans="1:1" x14ac:dyDescent="0.25">
      <c r="A135">
        <v>668</v>
      </c>
    </row>
    <row r="136" spans="1:1" x14ac:dyDescent="0.25">
      <c r="A136">
        <v>667</v>
      </c>
    </row>
    <row r="137" spans="1:1" x14ac:dyDescent="0.25">
      <c r="A137">
        <v>666</v>
      </c>
    </row>
    <row r="138" spans="1:1" x14ac:dyDescent="0.25">
      <c r="A138">
        <v>665</v>
      </c>
    </row>
    <row r="139" spans="1:1" x14ac:dyDescent="0.25">
      <c r="A139">
        <v>664</v>
      </c>
    </row>
    <row r="140" spans="1:1" x14ac:dyDescent="0.25">
      <c r="A140">
        <v>663</v>
      </c>
    </row>
    <row r="141" spans="1:1" x14ac:dyDescent="0.25">
      <c r="A141">
        <v>662</v>
      </c>
    </row>
    <row r="142" spans="1:1" x14ac:dyDescent="0.25">
      <c r="A142">
        <v>661</v>
      </c>
    </row>
    <row r="143" spans="1:1" x14ac:dyDescent="0.25">
      <c r="A143">
        <v>660</v>
      </c>
    </row>
    <row r="144" spans="1:1" x14ac:dyDescent="0.25">
      <c r="A144">
        <v>659</v>
      </c>
    </row>
    <row r="145" spans="1:1" x14ac:dyDescent="0.25">
      <c r="A145">
        <v>658</v>
      </c>
    </row>
    <row r="146" spans="1:1" x14ac:dyDescent="0.25">
      <c r="A146">
        <v>657</v>
      </c>
    </row>
    <row r="147" spans="1:1" x14ac:dyDescent="0.25">
      <c r="A147">
        <v>656</v>
      </c>
    </row>
    <row r="148" spans="1:1" x14ac:dyDescent="0.25">
      <c r="A148">
        <v>655</v>
      </c>
    </row>
    <row r="149" spans="1:1" x14ac:dyDescent="0.25">
      <c r="A149">
        <v>654</v>
      </c>
    </row>
    <row r="150" spans="1:1" x14ac:dyDescent="0.25">
      <c r="A150">
        <v>653</v>
      </c>
    </row>
    <row r="151" spans="1:1" x14ac:dyDescent="0.25">
      <c r="A151">
        <v>652</v>
      </c>
    </row>
    <row r="152" spans="1:1" x14ac:dyDescent="0.25">
      <c r="A152">
        <v>651</v>
      </c>
    </row>
    <row r="153" spans="1:1" x14ac:dyDescent="0.25">
      <c r="A153">
        <v>650</v>
      </c>
    </row>
    <row r="154" spans="1:1" x14ac:dyDescent="0.25">
      <c r="A154">
        <v>649</v>
      </c>
    </row>
    <row r="155" spans="1:1" x14ac:dyDescent="0.25">
      <c r="A155">
        <v>648</v>
      </c>
    </row>
    <row r="156" spans="1:1" x14ac:dyDescent="0.25">
      <c r="A156">
        <v>647</v>
      </c>
    </row>
    <row r="157" spans="1:1" x14ac:dyDescent="0.25">
      <c r="A157">
        <v>646</v>
      </c>
    </row>
    <row r="158" spans="1:1" x14ac:dyDescent="0.25">
      <c r="A158">
        <v>645</v>
      </c>
    </row>
    <row r="159" spans="1:1" x14ac:dyDescent="0.25">
      <c r="A159">
        <v>644</v>
      </c>
    </row>
    <row r="160" spans="1:1" x14ac:dyDescent="0.25">
      <c r="A160">
        <v>643</v>
      </c>
    </row>
    <row r="161" spans="1:1" x14ac:dyDescent="0.25">
      <c r="A161">
        <v>642</v>
      </c>
    </row>
    <row r="162" spans="1:1" x14ac:dyDescent="0.25">
      <c r="A162">
        <v>641</v>
      </c>
    </row>
    <row r="163" spans="1:1" x14ac:dyDescent="0.25">
      <c r="A163">
        <v>640</v>
      </c>
    </row>
    <row r="164" spans="1:1" x14ac:dyDescent="0.25">
      <c r="A164">
        <v>639</v>
      </c>
    </row>
    <row r="165" spans="1:1" x14ac:dyDescent="0.25">
      <c r="A165">
        <v>638</v>
      </c>
    </row>
    <row r="166" spans="1:1" x14ac:dyDescent="0.25">
      <c r="A166">
        <v>637</v>
      </c>
    </row>
    <row r="167" spans="1:1" x14ac:dyDescent="0.25">
      <c r="A167">
        <v>636</v>
      </c>
    </row>
    <row r="168" spans="1:1" x14ac:dyDescent="0.25">
      <c r="A168">
        <v>635</v>
      </c>
    </row>
    <row r="169" spans="1:1" x14ac:dyDescent="0.25">
      <c r="A169">
        <v>634</v>
      </c>
    </row>
    <row r="170" spans="1:1" x14ac:dyDescent="0.25">
      <c r="A170">
        <v>633</v>
      </c>
    </row>
    <row r="171" spans="1:1" x14ac:dyDescent="0.25">
      <c r="A171">
        <v>632</v>
      </c>
    </row>
    <row r="172" spans="1:1" x14ac:dyDescent="0.25">
      <c r="A172">
        <v>631</v>
      </c>
    </row>
    <row r="173" spans="1:1" x14ac:dyDescent="0.25">
      <c r="A173">
        <v>630</v>
      </c>
    </row>
    <row r="174" spans="1:1" x14ac:dyDescent="0.25">
      <c r="A174">
        <v>629</v>
      </c>
    </row>
    <row r="175" spans="1:1" x14ac:dyDescent="0.25">
      <c r="A175">
        <v>628</v>
      </c>
    </row>
    <row r="176" spans="1:1" x14ac:dyDescent="0.25">
      <c r="A176">
        <v>627</v>
      </c>
    </row>
    <row r="177" spans="1:1" x14ac:dyDescent="0.25">
      <c r="A177">
        <v>626</v>
      </c>
    </row>
    <row r="178" spans="1:1" x14ac:dyDescent="0.25">
      <c r="A178">
        <v>625</v>
      </c>
    </row>
    <row r="179" spans="1:1" x14ac:dyDescent="0.25">
      <c r="A179">
        <v>624</v>
      </c>
    </row>
    <row r="180" spans="1:1" x14ac:dyDescent="0.25">
      <c r="A180">
        <v>623</v>
      </c>
    </row>
    <row r="181" spans="1:1" x14ac:dyDescent="0.25">
      <c r="A181">
        <v>622</v>
      </c>
    </row>
    <row r="182" spans="1:1" x14ac:dyDescent="0.25">
      <c r="A182">
        <v>621</v>
      </c>
    </row>
    <row r="183" spans="1:1" x14ac:dyDescent="0.25">
      <c r="A183">
        <v>620</v>
      </c>
    </row>
    <row r="184" spans="1:1" x14ac:dyDescent="0.25">
      <c r="A184">
        <v>619</v>
      </c>
    </row>
    <row r="185" spans="1:1" x14ac:dyDescent="0.25">
      <c r="A185">
        <v>618</v>
      </c>
    </row>
    <row r="186" spans="1:1" x14ac:dyDescent="0.25">
      <c r="A186">
        <v>617</v>
      </c>
    </row>
    <row r="187" spans="1:1" x14ac:dyDescent="0.25">
      <c r="A187">
        <v>616</v>
      </c>
    </row>
    <row r="188" spans="1:1" x14ac:dyDescent="0.25">
      <c r="A188">
        <v>615</v>
      </c>
    </row>
    <row r="189" spans="1:1" x14ac:dyDescent="0.25">
      <c r="A189">
        <v>614</v>
      </c>
    </row>
    <row r="190" spans="1:1" x14ac:dyDescent="0.25">
      <c r="A190">
        <v>613</v>
      </c>
    </row>
    <row r="191" spans="1:1" x14ac:dyDescent="0.25">
      <c r="A191">
        <v>612</v>
      </c>
    </row>
    <row r="192" spans="1:1" x14ac:dyDescent="0.25">
      <c r="A192">
        <v>611</v>
      </c>
    </row>
    <row r="193" spans="1:1" x14ac:dyDescent="0.25">
      <c r="A193">
        <v>610</v>
      </c>
    </row>
    <row r="194" spans="1:1" x14ac:dyDescent="0.25">
      <c r="A194">
        <v>609</v>
      </c>
    </row>
    <row r="195" spans="1:1" x14ac:dyDescent="0.25">
      <c r="A195">
        <v>608</v>
      </c>
    </row>
    <row r="196" spans="1:1" x14ac:dyDescent="0.25">
      <c r="A196">
        <v>607</v>
      </c>
    </row>
    <row r="197" spans="1:1" x14ac:dyDescent="0.25">
      <c r="A197">
        <v>606</v>
      </c>
    </row>
    <row r="198" spans="1:1" x14ac:dyDescent="0.25">
      <c r="A198">
        <v>605</v>
      </c>
    </row>
    <row r="199" spans="1:1" x14ac:dyDescent="0.25">
      <c r="A199">
        <v>604</v>
      </c>
    </row>
    <row r="200" spans="1:1" x14ac:dyDescent="0.25">
      <c r="A200">
        <v>603</v>
      </c>
    </row>
    <row r="201" spans="1:1" x14ac:dyDescent="0.25">
      <c r="A201">
        <v>602</v>
      </c>
    </row>
    <row r="202" spans="1:1" x14ac:dyDescent="0.25">
      <c r="A202">
        <v>601</v>
      </c>
    </row>
    <row r="203" spans="1:1" x14ac:dyDescent="0.25">
      <c r="A203">
        <v>600</v>
      </c>
    </row>
    <row r="204" spans="1:1" x14ac:dyDescent="0.25">
      <c r="A204">
        <v>599</v>
      </c>
    </row>
    <row r="205" spans="1:1" x14ac:dyDescent="0.25">
      <c r="A205">
        <v>598</v>
      </c>
    </row>
    <row r="206" spans="1:1" x14ac:dyDescent="0.25">
      <c r="A206">
        <v>597</v>
      </c>
    </row>
    <row r="207" spans="1:1" x14ac:dyDescent="0.25">
      <c r="A207">
        <v>596</v>
      </c>
    </row>
    <row r="208" spans="1:1" x14ac:dyDescent="0.25">
      <c r="A208">
        <v>595</v>
      </c>
    </row>
    <row r="209" spans="1:1" x14ac:dyDescent="0.25">
      <c r="A209">
        <v>594</v>
      </c>
    </row>
    <row r="210" spans="1:1" x14ac:dyDescent="0.25">
      <c r="A210">
        <v>593</v>
      </c>
    </row>
    <row r="211" spans="1:1" x14ac:dyDescent="0.25">
      <c r="A211">
        <v>592</v>
      </c>
    </row>
    <row r="212" spans="1:1" x14ac:dyDescent="0.25">
      <c r="A212">
        <v>591</v>
      </c>
    </row>
    <row r="213" spans="1:1" x14ac:dyDescent="0.25">
      <c r="A213">
        <v>590</v>
      </c>
    </row>
    <row r="214" spans="1:1" x14ac:dyDescent="0.25">
      <c r="A214">
        <v>589</v>
      </c>
    </row>
    <row r="215" spans="1:1" x14ac:dyDescent="0.25">
      <c r="A215">
        <v>588</v>
      </c>
    </row>
    <row r="216" spans="1:1" x14ac:dyDescent="0.25">
      <c r="A216">
        <v>587</v>
      </c>
    </row>
    <row r="217" spans="1:1" x14ac:dyDescent="0.25">
      <c r="A217">
        <v>586</v>
      </c>
    </row>
    <row r="218" spans="1:1" x14ac:dyDescent="0.25">
      <c r="A218">
        <v>585</v>
      </c>
    </row>
    <row r="219" spans="1:1" x14ac:dyDescent="0.25">
      <c r="A219">
        <v>584</v>
      </c>
    </row>
    <row r="220" spans="1:1" x14ac:dyDescent="0.25">
      <c r="A220">
        <v>583</v>
      </c>
    </row>
    <row r="221" spans="1:1" x14ac:dyDescent="0.25">
      <c r="A221">
        <v>582</v>
      </c>
    </row>
    <row r="222" spans="1:1" x14ac:dyDescent="0.25">
      <c r="A222">
        <v>581</v>
      </c>
    </row>
    <row r="223" spans="1:1" x14ac:dyDescent="0.25">
      <c r="A223">
        <v>580</v>
      </c>
    </row>
    <row r="224" spans="1:1" x14ac:dyDescent="0.25">
      <c r="A224">
        <v>579</v>
      </c>
    </row>
    <row r="225" spans="1:1" x14ac:dyDescent="0.25">
      <c r="A225">
        <v>578</v>
      </c>
    </row>
    <row r="226" spans="1:1" x14ac:dyDescent="0.25">
      <c r="A226">
        <v>577</v>
      </c>
    </row>
    <row r="227" spans="1:1" x14ac:dyDescent="0.25">
      <c r="A227">
        <v>576</v>
      </c>
    </row>
    <row r="228" spans="1:1" x14ac:dyDescent="0.25">
      <c r="A228">
        <v>575</v>
      </c>
    </row>
    <row r="229" spans="1:1" x14ac:dyDescent="0.25">
      <c r="A229">
        <v>574</v>
      </c>
    </row>
    <row r="230" spans="1:1" x14ac:dyDescent="0.25">
      <c r="A230">
        <v>573</v>
      </c>
    </row>
    <row r="231" spans="1:1" x14ac:dyDescent="0.25">
      <c r="A231">
        <v>572</v>
      </c>
    </row>
    <row r="232" spans="1:1" x14ac:dyDescent="0.25">
      <c r="A232">
        <v>571</v>
      </c>
    </row>
    <row r="233" spans="1:1" x14ac:dyDescent="0.25">
      <c r="A233">
        <v>570</v>
      </c>
    </row>
    <row r="234" spans="1:1" x14ac:dyDescent="0.25">
      <c r="A234">
        <v>569</v>
      </c>
    </row>
    <row r="235" spans="1:1" x14ac:dyDescent="0.25">
      <c r="A235">
        <v>568</v>
      </c>
    </row>
    <row r="236" spans="1:1" x14ac:dyDescent="0.25">
      <c r="A236">
        <v>567</v>
      </c>
    </row>
    <row r="237" spans="1:1" x14ac:dyDescent="0.25">
      <c r="A237">
        <v>566</v>
      </c>
    </row>
    <row r="238" spans="1:1" x14ac:dyDescent="0.25">
      <c r="A238">
        <v>565</v>
      </c>
    </row>
    <row r="239" spans="1:1" x14ac:dyDescent="0.25">
      <c r="A239">
        <v>564</v>
      </c>
    </row>
    <row r="240" spans="1:1" x14ac:dyDescent="0.25">
      <c r="A240">
        <v>563</v>
      </c>
    </row>
    <row r="241" spans="1:1" x14ac:dyDescent="0.25">
      <c r="A241">
        <v>562</v>
      </c>
    </row>
    <row r="242" spans="1:1" x14ac:dyDescent="0.25">
      <c r="A242">
        <v>561</v>
      </c>
    </row>
    <row r="243" spans="1:1" x14ac:dyDescent="0.25">
      <c r="A243">
        <v>560</v>
      </c>
    </row>
    <row r="244" spans="1:1" x14ac:dyDescent="0.25">
      <c r="A244">
        <v>559</v>
      </c>
    </row>
    <row r="245" spans="1:1" x14ac:dyDescent="0.25">
      <c r="A245">
        <v>558</v>
      </c>
    </row>
    <row r="246" spans="1:1" x14ac:dyDescent="0.25">
      <c r="A246">
        <v>557</v>
      </c>
    </row>
    <row r="247" spans="1:1" x14ac:dyDescent="0.25">
      <c r="A247">
        <v>556</v>
      </c>
    </row>
    <row r="248" spans="1:1" x14ac:dyDescent="0.25">
      <c r="A248">
        <v>555</v>
      </c>
    </row>
    <row r="249" spans="1:1" x14ac:dyDescent="0.25">
      <c r="A249">
        <v>554</v>
      </c>
    </row>
    <row r="250" spans="1:1" x14ac:dyDescent="0.25">
      <c r="A250">
        <v>553</v>
      </c>
    </row>
    <row r="251" spans="1:1" x14ac:dyDescent="0.25">
      <c r="A251">
        <v>552</v>
      </c>
    </row>
    <row r="252" spans="1:1" x14ac:dyDescent="0.25">
      <c r="A252">
        <v>551</v>
      </c>
    </row>
    <row r="253" spans="1:1" x14ac:dyDescent="0.25">
      <c r="A253">
        <v>550</v>
      </c>
    </row>
    <row r="254" spans="1:1" x14ac:dyDescent="0.25">
      <c r="A254">
        <v>549</v>
      </c>
    </row>
    <row r="255" spans="1:1" x14ac:dyDescent="0.25">
      <c r="A255">
        <v>548</v>
      </c>
    </row>
    <row r="256" spans="1:1" x14ac:dyDescent="0.25">
      <c r="A256">
        <v>547</v>
      </c>
    </row>
    <row r="257" spans="1:1" x14ac:dyDescent="0.25">
      <c r="A257">
        <v>546</v>
      </c>
    </row>
    <row r="258" spans="1:1" x14ac:dyDescent="0.25">
      <c r="A258">
        <v>545</v>
      </c>
    </row>
    <row r="259" spans="1:1" x14ac:dyDescent="0.25">
      <c r="A259">
        <v>544</v>
      </c>
    </row>
    <row r="260" spans="1:1" x14ac:dyDescent="0.25">
      <c r="A260">
        <v>543</v>
      </c>
    </row>
    <row r="261" spans="1:1" x14ac:dyDescent="0.25">
      <c r="A261">
        <v>542</v>
      </c>
    </row>
    <row r="262" spans="1:1" x14ac:dyDescent="0.25">
      <c r="A262">
        <v>541</v>
      </c>
    </row>
    <row r="263" spans="1:1" x14ac:dyDescent="0.25">
      <c r="A263">
        <v>540</v>
      </c>
    </row>
    <row r="264" spans="1:1" x14ac:dyDescent="0.25">
      <c r="A264">
        <v>539</v>
      </c>
    </row>
    <row r="265" spans="1:1" x14ac:dyDescent="0.25">
      <c r="A265">
        <v>538</v>
      </c>
    </row>
    <row r="266" spans="1:1" x14ac:dyDescent="0.25">
      <c r="A266">
        <v>537</v>
      </c>
    </row>
    <row r="267" spans="1:1" x14ac:dyDescent="0.25">
      <c r="A267">
        <v>536</v>
      </c>
    </row>
    <row r="268" spans="1:1" x14ac:dyDescent="0.25">
      <c r="A268">
        <v>535</v>
      </c>
    </row>
    <row r="269" spans="1:1" x14ac:dyDescent="0.25">
      <c r="A269">
        <v>534</v>
      </c>
    </row>
    <row r="270" spans="1:1" x14ac:dyDescent="0.25">
      <c r="A270">
        <v>533</v>
      </c>
    </row>
    <row r="271" spans="1:1" x14ac:dyDescent="0.25">
      <c r="A271">
        <v>532</v>
      </c>
    </row>
    <row r="272" spans="1:1" x14ac:dyDescent="0.25">
      <c r="A272">
        <v>531</v>
      </c>
    </row>
    <row r="273" spans="1:1" x14ac:dyDescent="0.25">
      <c r="A273">
        <v>530</v>
      </c>
    </row>
    <row r="274" spans="1:1" x14ac:dyDescent="0.25">
      <c r="A274">
        <v>529</v>
      </c>
    </row>
    <row r="275" spans="1:1" x14ac:dyDescent="0.25">
      <c r="A275">
        <v>528</v>
      </c>
    </row>
    <row r="276" spans="1:1" x14ac:dyDescent="0.25">
      <c r="A276">
        <v>527</v>
      </c>
    </row>
    <row r="277" spans="1:1" x14ac:dyDescent="0.25">
      <c r="A277">
        <v>526</v>
      </c>
    </row>
    <row r="278" spans="1:1" x14ac:dyDescent="0.25">
      <c r="A278">
        <v>525</v>
      </c>
    </row>
    <row r="279" spans="1:1" x14ac:dyDescent="0.25">
      <c r="A279">
        <v>524</v>
      </c>
    </row>
    <row r="280" spans="1:1" x14ac:dyDescent="0.25">
      <c r="A280">
        <v>523</v>
      </c>
    </row>
    <row r="281" spans="1:1" x14ac:dyDescent="0.25">
      <c r="A281">
        <v>522</v>
      </c>
    </row>
    <row r="282" spans="1:1" x14ac:dyDescent="0.25">
      <c r="A282">
        <v>521</v>
      </c>
    </row>
    <row r="283" spans="1:1" x14ac:dyDescent="0.25">
      <c r="A283">
        <v>520</v>
      </c>
    </row>
    <row r="284" spans="1:1" x14ac:dyDescent="0.25">
      <c r="A284">
        <v>519</v>
      </c>
    </row>
    <row r="285" spans="1:1" x14ac:dyDescent="0.25">
      <c r="A285">
        <v>518</v>
      </c>
    </row>
    <row r="286" spans="1:1" x14ac:dyDescent="0.25">
      <c r="A286">
        <v>517</v>
      </c>
    </row>
    <row r="287" spans="1:1" x14ac:dyDescent="0.25">
      <c r="A287">
        <v>516</v>
      </c>
    </row>
    <row r="288" spans="1:1" x14ac:dyDescent="0.25">
      <c r="A288">
        <v>515</v>
      </c>
    </row>
    <row r="289" spans="1:1" x14ac:dyDescent="0.25">
      <c r="A289">
        <v>514</v>
      </c>
    </row>
    <row r="290" spans="1:1" x14ac:dyDescent="0.25">
      <c r="A290">
        <v>513</v>
      </c>
    </row>
    <row r="291" spans="1:1" x14ac:dyDescent="0.25">
      <c r="A291">
        <v>512</v>
      </c>
    </row>
    <row r="292" spans="1:1" x14ac:dyDescent="0.25">
      <c r="A292">
        <v>511</v>
      </c>
    </row>
    <row r="293" spans="1:1" x14ac:dyDescent="0.25">
      <c r="A293">
        <v>510</v>
      </c>
    </row>
    <row r="294" spans="1:1" x14ac:dyDescent="0.25">
      <c r="A294">
        <v>509</v>
      </c>
    </row>
    <row r="295" spans="1:1" x14ac:dyDescent="0.25">
      <c r="A295">
        <v>508</v>
      </c>
    </row>
    <row r="296" spans="1:1" x14ac:dyDescent="0.25">
      <c r="A296">
        <v>507</v>
      </c>
    </row>
    <row r="297" spans="1:1" x14ac:dyDescent="0.25">
      <c r="A297">
        <v>506</v>
      </c>
    </row>
    <row r="298" spans="1:1" x14ac:dyDescent="0.25">
      <c r="A298">
        <v>505</v>
      </c>
    </row>
    <row r="299" spans="1:1" x14ac:dyDescent="0.25">
      <c r="A299">
        <v>504</v>
      </c>
    </row>
    <row r="300" spans="1:1" x14ac:dyDescent="0.25">
      <c r="A300">
        <v>503</v>
      </c>
    </row>
    <row r="301" spans="1:1" x14ac:dyDescent="0.25">
      <c r="A301">
        <v>502</v>
      </c>
    </row>
    <row r="302" spans="1:1" x14ac:dyDescent="0.25">
      <c r="A302">
        <v>501</v>
      </c>
    </row>
    <row r="303" spans="1:1" x14ac:dyDescent="0.25">
      <c r="A303">
        <v>500</v>
      </c>
    </row>
    <row r="304" spans="1:1" x14ac:dyDescent="0.25">
      <c r="A304">
        <v>499</v>
      </c>
    </row>
    <row r="305" spans="1:1" x14ac:dyDescent="0.25">
      <c r="A305">
        <v>498</v>
      </c>
    </row>
    <row r="306" spans="1:1" x14ac:dyDescent="0.25">
      <c r="A306">
        <v>497</v>
      </c>
    </row>
    <row r="307" spans="1:1" x14ac:dyDescent="0.25">
      <c r="A307">
        <v>496</v>
      </c>
    </row>
    <row r="308" spans="1:1" x14ac:dyDescent="0.25">
      <c r="A308">
        <v>495</v>
      </c>
    </row>
    <row r="309" spans="1:1" x14ac:dyDescent="0.25">
      <c r="A309">
        <v>494</v>
      </c>
    </row>
    <row r="310" spans="1:1" x14ac:dyDescent="0.25">
      <c r="A310">
        <v>493</v>
      </c>
    </row>
    <row r="311" spans="1:1" x14ac:dyDescent="0.25">
      <c r="A311">
        <v>492</v>
      </c>
    </row>
    <row r="312" spans="1:1" x14ac:dyDescent="0.25">
      <c r="A312">
        <v>491</v>
      </c>
    </row>
    <row r="313" spans="1:1" x14ac:dyDescent="0.25">
      <c r="A313">
        <v>490</v>
      </c>
    </row>
    <row r="314" spans="1:1" x14ac:dyDescent="0.25">
      <c r="A314">
        <v>489</v>
      </c>
    </row>
    <row r="315" spans="1:1" x14ac:dyDescent="0.25">
      <c r="A315">
        <v>488</v>
      </c>
    </row>
    <row r="316" spans="1:1" x14ac:dyDescent="0.25">
      <c r="A316">
        <v>487</v>
      </c>
    </row>
    <row r="317" spans="1:1" x14ac:dyDescent="0.25">
      <c r="A317">
        <v>486</v>
      </c>
    </row>
    <row r="318" spans="1:1" x14ac:dyDescent="0.25">
      <c r="A318">
        <v>485</v>
      </c>
    </row>
    <row r="319" spans="1:1" x14ac:dyDescent="0.25">
      <c r="A319">
        <v>484</v>
      </c>
    </row>
    <row r="320" spans="1:1" x14ac:dyDescent="0.25">
      <c r="A320">
        <v>483</v>
      </c>
    </row>
    <row r="321" spans="1:1" x14ac:dyDescent="0.25">
      <c r="A321">
        <v>482</v>
      </c>
    </row>
    <row r="322" spans="1:1" x14ac:dyDescent="0.25">
      <c r="A322">
        <v>481</v>
      </c>
    </row>
    <row r="323" spans="1:1" x14ac:dyDescent="0.25">
      <c r="A323">
        <v>480</v>
      </c>
    </row>
    <row r="324" spans="1:1" x14ac:dyDescent="0.25">
      <c r="A324">
        <v>479</v>
      </c>
    </row>
    <row r="325" spans="1:1" x14ac:dyDescent="0.25">
      <c r="A325">
        <v>478</v>
      </c>
    </row>
    <row r="326" spans="1:1" x14ac:dyDescent="0.25">
      <c r="A326">
        <v>477</v>
      </c>
    </row>
    <row r="327" spans="1:1" x14ac:dyDescent="0.25">
      <c r="A327">
        <v>476</v>
      </c>
    </row>
    <row r="328" spans="1:1" x14ac:dyDescent="0.25">
      <c r="A328">
        <v>475</v>
      </c>
    </row>
    <row r="329" spans="1:1" x14ac:dyDescent="0.25">
      <c r="A329">
        <v>474</v>
      </c>
    </row>
    <row r="330" spans="1:1" x14ac:dyDescent="0.25">
      <c r="A330">
        <v>473</v>
      </c>
    </row>
    <row r="331" spans="1:1" x14ac:dyDescent="0.25">
      <c r="A331">
        <v>472</v>
      </c>
    </row>
    <row r="332" spans="1:1" x14ac:dyDescent="0.25">
      <c r="A332">
        <v>471</v>
      </c>
    </row>
    <row r="333" spans="1:1" x14ac:dyDescent="0.25">
      <c r="A333">
        <v>470</v>
      </c>
    </row>
    <row r="334" spans="1:1" x14ac:dyDescent="0.25">
      <c r="A334">
        <v>469</v>
      </c>
    </row>
    <row r="335" spans="1:1" x14ac:dyDescent="0.25">
      <c r="A335">
        <v>468</v>
      </c>
    </row>
    <row r="336" spans="1:1" x14ac:dyDescent="0.25">
      <c r="A336">
        <v>467</v>
      </c>
    </row>
    <row r="337" spans="1:1" x14ac:dyDescent="0.25">
      <c r="A337">
        <v>466</v>
      </c>
    </row>
    <row r="338" spans="1:1" x14ac:dyDescent="0.25">
      <c r="A338">
        <v>465</v>
      </c>
    </row>
    <row r="339" spans="1:1" x14ac:dyDescent="0.25">
      <c r="A339">
        <v>464</v>
      </c>
    </row>
    <row r="340" spans="1:1" x14ac:dyDescent="0.25">
      <c r="A340">
        <v>463</v>
      </c>
    </row>
    <row r="341" spans="1:1" x14ac:dyDescent="0.25">
      <c r="A341">
        <v>462</v>
      </c>
    </row>
    <row r="342" spans="1:1" x14ac:dyDescent="0.25">
      <c r="A342">
        <v>461</v>
      </c>
    </row>
    <row r="343" spans="1:1" x14ac:dyDescent="0.25">
      <c r="A343">
        <v>460</v>
      </c>
    </row>
    <row r="344" spans="1:1" x14ac:dyDescent="0.25">
      <c r="A344">
        <v>459</v>
      </c>
    </row>
    <row r="345" spans="1:1" x14ac:dyDescent="0.25">
      <c r="A345">
        <v>458</v>
      </c>
    </row>
    <row r="346" spans="1:1" x14ac:dyDescent="0.25">
      <c r="A346">
        <v>457</v>
      </c>
    </row>
    <row r="347" spans="1:1" x14ac:dyDescent="0.25">
      <c r="A347">
        <v>456</v>
      </c>
    </row>
    <row r="348" spans="1:1" x14ac:dyDescent="0.25">
      <c r="A348">
        <v>455</v>
      </c>
    </row>
    <row r="349" spans="1:1" x14ac:dyDescent="0.25">
      <c r="A349">
        <v>454</v>
      </c>
    </row>
    <row r="350" spans="1:1" x14ac:dyDescent="0.25">
      <c r="A350">
        <v>453</v>
      </c>
    </row>
    <row r="351" spans="1:1" x14ac:dyDescent="0.25">
      <c r="A351">
        <v>452</v>
      </c>
    </row>
    <row r="352" spans="1:1" x14ac:dyDescent="0.25">
      <c r="A352">
        <v>451</v>
      </c>
    </row>
    <row r="353" spans="1:1" x14ac:dyDescent="0.25">
      <c r="A353">
        <v>450</v>
      </c>
    </row>
    <row r="354" spans="1:1" x14ac:dyDescent="0.25">
      <c r="A354">
        <v>449</v>
      </c>
    </row>
    <row r="355" spans="1:1" x14ac:dyDescent="0.25">
      <c r="A355">
        <v>448</v>
      </c>
    </row>
    <row r="356" spans="1:1" x14ac:dyDescent="0.25">
      <c r="A356">
        <v>447</v>
      </c>
    </row>
    <row r="357" spans="1:1" x14ac:dyDescent="0.25">
      <c r="A357">
        <v>446</v>
      </c>
    </row>
    <row r="358" spans="1:1" x14ac:dyDescent="0.25">
      <c r="A358">
        <v>445</v>
      </c>
    </row>
    <row r="359" spans="1:1" x14ac:dyDescent="0.25">
      <c r="A359">
        <v>444</v>
      </c>
    </row>
    <row r="360" spans="1:1" x14ac:dyDescent="0.25">
      <c r="A360">
        <v>443</v>
      </c>
    </row>
    <row r="361" spans="1:1" x14ac:dyDescent="0.25">
      <c r="A361">
        <v>442</v>
      </c>
    </row>
    <row r="362" spans="1:1" x14ac:dyDescent="0.25">
      <c r="A362">
        <v>441</v>
      </c>
    </row>
    <row r="363" spans="1:1" x14ac:dyDescent="0.25">
      <c r="A363">
        <v>440</v>
      </c>
    </row>
    <row r="364" spans="1:1" x14ac:dyDescent="0.25">
      <c r="A364">
        <v>439</v>
      </c>
    </row>
    <row r="365" spans="1:1" x14ac:dyDescent="0.25">
      <c r="A365">
        <v>438</v>
      </c>
    </row>
    <row r="366" spans="1:1" x14ac:dyDescent="0.25">
      <c r="A366">
        <v>437</v>
      </c>
    </row>
    <row r="367" spans="1:1" x14ac:dyDescent="0.25">
      <c r="A367">
        <v>436</v>
      </c>
    </row>
    <row r="368" spans="1:1" x14ac:dyDescent="0.25">
      <c r="A368">
        <v>435</v>
      </c>
    </row>
    <row r="369" spans="1:1" x14ac:dyDescent="0.25">
      <c r="A369">
        <v>434</v>
      </c>
    </row>
    <row r="370" spans="1:1" x14ac:dyDescent="0.25">
      <c r="A370">
        <v>433</v>
      </c>
    </row>
    <row r="371" spans="1:1" x14ac:dyDescent="0.25">
      <c r="A371">
        <v>432</v>
      </c>
    </row>
    <row r="372" spans="1:1" x14ac:dyDescent="0.25">
      <c r="A372">
        <v>431</v>
      </c>
    </row>
    <row r="373" spans="1:1" x14ac:dyDescent="0.25">
      <c r="A373">
        <v>430</v>
      </c>
    </row>
    <row r="374" spans="1:1" x14ac:dyDescent="0.25">
      <c r="A374">
        <v>429</v>
      </c>
    </row>
    <row r="375" spans="1:1" x14ac:dyDescent="0.25">
      <c r="A375">
        <v>428</v>
      </c>
    </row>
    <row r="376" spans="1:1" x14ac:dyDescent="0.25">
      <c r="A376">
        <v>427</v>
      </c>
    </row>
    <row r="377" spans="1:1" x14ac:dyDescent="0.25">
      <c r="A377">
        <v>426</v>
      </c>
    </row>
    <row r="378" spans="1:1" x14ac:dyDescent="0.25">
      <c r="A378">
        <v>425</v>
      </c>
    </row>
    <row r="379" spans="1:1" x14ac:dyDescent="0.25">
      <c r="A379">
        <v>424</v>
      </c>
    </row>
    <row r="380" spans="1:1" x14ac:dyDescent="0.25">
      <c r="A380">
        <v>423</v>
      </c>
    </row>
    <row r="381" spans="1:1" x14ac:dyDescent="0.25">
      <c r="A381">
        <v>422</v>
      </c>
    </row>
    <row r="382" spans="1:1" x14ac:dyDescent="0.25">
      <c r="A382">
        <v>421</v>
      </c>
    </row>
    <row r="383" spans="1:1" x14ac:dyDescent="0.25">
      <c r="A383">
        <v>420</v>
      </c>
    </row>
    <row r="384" spans="1:1" x14ac:dyDescent="0.25">
      <c r="A384">
        <v>419</v>
      </c>
    </row>
    <row r="385" spans="1:1" x14ac:dyDescent="0.25">
      <c r="A385">
        <v>418</v>
      </c>
    </row>
    <row r="386" spans="1:1" x14ac:dyDescent="0.25">
      <c r="A386">
        <v>417</v>
      </c>
    </row>
    <row r="387" spans="1:1" x14ac:dyDescent="0.25">
      <c r="A387">
        <v>416</v>
      </c>
    </row>
    <row r="388" spans="1:1" x14ac:dyDescent="0.25">
      <c r="A388">
        <v>415</v>
      </c>
    </row>
    <row r="389" spans="1:1" x14ac:dyDescent="0.25">
      <c r="A389">
        <v>414</v>
      </c>
    </row>
    <row r="390" spans="1:1" x14ac:dyDescent="0.25">
      <c r="A390">
        <v>413</v>
      </c>
    </row>
    <row r="391" spans="1:1" x14ac:dyDescent="0.25">
      <c r="A391">
        <v>412</v>
      </c>
    </row>
    <row r="392" spans="1:1" x14ac:dyDescent="0.25">
      <c r="A392">
        <v>411</v>
      </c>
    </row>
    <row r="393" spans="1:1" x14ac:dyDescent="0.25">
      <c r="A393">
        <v>410</v>
      </c>
    </row>
    <row r="394" spans="1:1" x14ac:dyDescent="0.25">
      <c r="A394">
        <v>409</v>
      </c>
    </row>
    <row r="395" spans="1:1" x14ac:dyDescent="0.25">
      <c r="A395">
        <v>408</v>
      </c>
    </row>
    <row r="396" spans="1:1" x14ac:dyDescent="0.25">
      <c r="A396">
        <v>407</v>
      </c>
    </row>
    <row r="397" spans="1:1" x14ac:dyDescent="0.25">
      <c r="A397">
        <v>406</v>
      </c>
    </row>
    <row r="398" spans="1:1" x14ac:dyDescent="0.25">
      <c r="A398">
        <v>405</v>
      </c>
    </row>
    <row r="399" spans="1:1" x14ac:dyDescent="0.25">
      <c r="A399">
        <v>404</v>
      </c>
    </row>
    <row r="400" spans="1:1" x14ac:dyDescent="0.25">
      <c r="A400">
        <v>403</v>
      </c>
    </row>
    <row r="401" spans="1:1" x14ac:dyDescent="0.25">
      <c r="A401">
        <v>402</v>
      </c>
    </row>
    <row r="402" spans="1:1" x14ac:dyDescent="0.25">
      <c r="A402">
        <v>401</v>
      </c>
    </row>
    <row r="403" spans="1:1" x14ac:dyDescent="0.25">
      <c r="A403">
        <v>400</v>
      </c>
    </row>
    <row r="404" spans="1:1" x14ac:dyDescent="0.25">
      <c r="A404">
        <v>399</v>
      </c>
    </row>
    <row r="405" spans="1:1" x14ac:dyDescent="0.25">
      <c r="A405">
        <v>398</v>
      </c>
    </row>
    <row r="406" spans="1:1" x14ac:dyDescent="0.25">
      <c r="A406">
        <v>397</v>
      </c>
    </row>
    <row r="407" spans="1:1" x14ac:dyDescent="0.25">
      <c r="A407">
        <v>396</v>
      </c>
    </row>
    <row r="408" spans="1:1" x14ac:dyDescent="0.25">
      <c r="A408">
        <v>395</v>
      </c>
    </row>
    <row r="409" spans="1:1" x14ac:dyDescent="0.25">
      <c r="A409">
        <v>394</v>
      </c>
    </row>
    <row r="410" spans="1:1" x14ac:dyDescent="0.25">
      <c r="A410">
        <v>393</v>
      </c>
    </row>
    <row r="411" spans="1:1" x14ac:dyDescent="0.25">
      <c r="A411">
        <v>392</v>
      </c>
    </row>
    <row r="412" spans="1:1" x14ac:dyDescent="0.25">
      <c r="A412">
        <v>391</v>
      </c>
    </row>
    <row r="413" spans="1:1" x14ac:dyDescent="0.25">
      <c r="A413">
        <v>390</v>
      </c>
    </row>
    <row r="414" spans="1:1" x14ac:dyDescent="0.25">
      <c r="A414">
        <v>389</v>
      </c>
    </row>
    <row r="415" spans="1:1" x14ac:dyDescent="0.25">
      <c r="A415">
        <v>388</v>
      </c>
    </row>
    <row r="416" spans="1:1" x14ac:dyDescent="0.25">
      <c r="A416">
        <v>387</v>
      </c>
    </row>
    <row r="417" spans="1:1" x14ac:dyDescent="0.25">
      <c r="A417">
        <v>386</v>
      </c>
    </row>
    <row r="418" spans="1:1" x14ac:dyDescent="0.25">
      <c r="A418">
        <v>385</v>
      </c>
    </row>
    <row r="419" spans="1:1" x14ac:dyDescent="0.25">
      <c r="A419">
        <v>384</v>
      </c>
    </row>
    <row r="420" spans="1:1" x14ac:dyDescent="0.25">
      <c r="A420">
        <v>383</v>
      </c>
    </row>
    <row r="421" spans="1:1" x14ac:dyDescent="0.25">
      <c r="A421">
        <v>382</v>
      </c>
    </row>
    <row r="422" spans="1:1" x14ac:dyDescent="0.25">
      <c r="A422">
        <v>381</v>
      </c>
    </row>
    <row r="423" spans="1:1" x14ac:dyDescent="0.25">
      <c r="A423">
        <v>380</v>
      </c>
    </row>
    <row r="424" spans="1:1" x14ac:dyDescent="0.25">
      <c r="A424">
        <v>379</v>
      </c>
    </row>
    <row r="425" spans="1:1" x14ac:dyDescent="0.25">
      <c r="A425">
        <v>378</v>
      </c>
    </row>
    <row r="426" spans="1:1" x14ac:dyDescent="0.25">
      <c r="A426">
        <v>377</v>
      </c>
    </row>
    <row r="427" spans="1:1" x14ac:dyDescent="0.25">
      <c r="A427">
        <v>376</v>
      </c>
    </row>
    <row r="428" spans="1:1" x14ac:dyDescent="0.25">
      <c r="A428">
        <v>375</v>
      </c>
    </row>
    <row r="429" spans="1:1" x14ac:dyDescent="0.25">
      <c r="A429">
        <v>374</v>
      </c>
    </row>
    <row r="430" spans="1:1" x14ac:dyDescent="0.25">
      <c r="A430">
        <v>373</v>
      </c>
    </row>
    <row r="431" spans="1:1" x14ac:dyDescent="0.25">
      <c r="A431">
        <v>372</v>
      </c>
    </row>
    <row r="432" spans="1:1" x14ac:dyDescent="0.25">
      <c r="A432">
        <v>371</v>
      </c>
    </row>
    <row r="433" spans="1:1" x14ac:dyDescent="0.25">
      <c r="A433">
        <v>370</v>
      </c>
    </row>
    <row r="434" spans="1:1" x14ac:dyDescent="0.25">
      <c r="A434">
        <v>369</v>
      </c>
    </row>
    <row r="435" spans="1:1" x14ac:dyDescent="0.25">
      <c r="A435">
        <v>368</v>
      </c>
    </row>
    <row r="436" spans="1:1" x14ac:dyDescent="0.25">
      <c r="A436">
        <v>367</v>
      </c>
    </row>
    <row r="437" spans="1:1" x14ac:dyDescent="0.25">
      <c r="A437">
        <v>366</v>
      </c>
    </row>
    <row r="438" spans="1:1" x14ac:dyDescent="0.25">
      <c r="A438">
        <v>365</v>
      </c>
    </row>
    <row r="439" spans="1:1" x14ac:dyDescent="0.25">
      <c r="A439">
        <v>364</v>
      </c>
    </row>
    <row r="440" spans="1:1" x14ac:dyDescent="0.25">
      <c r="A440">
        <v>363</v>
      </c>
    </row>
    <row r="441" spans="1:1" x14ac:dyDescent="0.25">
      <c r="A441">
        <v>362</v>
      </c>
    </row>
    <row r="442" spans="1:1" x14ac:dyDescent="0.25">
      <c r="A442">
        <v>361</v>
      </c>
    </row>
    <row r="443" spans="1:1" x14ac:dyDescent="0.25">
      <c r="A443">
        <v>360</v>
      </c>
    </row>
    <row r="444" spans="1:1" x14ac:dyDescent="0.25">
      <c r="A444">
        <v>359</v>
      </c>
    </row>
    <row r="445" spans="1:1" x14ac:dyDescent="0.25">
      <c r="A445">
        <v>358</v>
      </c>
    </row>
    <row r="446" spans="1:1" x14ac:dyDescent="0.25">
      <c r="A446">
        <v>357</v>
      </c>
    </row>
    <row r="447" spans="1:1" x14ac:dyDescent="0.25">
      <c r="A447">
        <v>356</v>
      </c>
    </row>
    <row r="448" spans="1:1" x14ac:dyDescent="0.25">
      <c r="A448">
        <v>355</v>
      </c>
    </row>
    <row r="449" spans="1:1" x14ac:dyDescent="0.25">
      <c r="A449">
        <v>354</v>
      </c>
    </row>
    <row r="450" spans="1:1" x14ac:dyDescent="0.25">
      <c r="A450">
        <v>353</v>
      </c>
    </row>
    <row r="451" spans="1:1" x14ac:dyDescent="0.25">
      <c r="A451">
        <v>352</v>
      </c>
    </row>
    <row r="452" spans="1:1" x14ac:dyDescent="0.25">
      <c r="A452">
        <v>351</v>
      </c>
    </row>
    <row r="453" spans="1:1" x14ac:dyDescent="0.25">
      <c r="A453">
        <v>350</v>
      </c>
    </row>
    <row r="454" spans="1:1" x14ac:dyDescent="0.25">
      <c r="A454">
        <v>349</v>
      </c>
    </row>
    <row r="455" spans="1:1" x14ac:dyDescent="0.25">
      <c r="A455">
        <v>348</v>
      </c>
    </row>
    <row r="456" spans="1:1" x14ac:dyDescent="0.25">
      <c r="A456">
        <v>347</v>
      </c>
    </row>
    <row r="457" spans="1:1" x14ac:dyDescent="0.25">
      <c r="A457">
        <v>346</v>
      </c>
    </row>
    <row r="458" spans="1:1" x14ac:dyDescent="0.25">
      <c r="A458">
        <v>345</v>
      </c>
    </row>
    <row r="459" spans="1:1" x14ac:dyDescent="0.25">
      <c r="A459">
        <v>344</v>
      </c>
    </row>
    <row r="460" spans="1:1" x14ac:dyDescent="0.25">
      <c r="A460">
        <v>343</v>
      </c>
    </row>
    <row r="461" spans="1:1" x14ac:dyDescent="0.25">
      <c r="A461">
        <v>342</v>
      </c>
    </row>
    <row r="462" spans="1:1" x14ac:dyDescent="0.25">
      <c r="A462">
        <v>341</v>
      </c>
    </row>
    <row r="463" spans="1:1" x14ac:dyDescent="0.25">
      <c r="A463">
        <v>340</v>
      </c>
    </row>
    <row r="464" spans="1:1" x14ac:dyDescent="0.25">
      <c r="A464">
        <v>339</v>
      </c>
    </row>
    <row r="465" spans="1:1" x14ac:dyDescent="0.25">
      <c r="A465">
        <v>338</v>
      </c>
    </row>
    <row r="466" spans="1:1" x14ac:dyDescent="0.25">
      <c r="A466">
        <v>337</v>
      </c>
    </row>
    <row r="467" spans="1:1" x14ac:dyDescent="0.25">
      <c r="A467">
        <v>336</v>
      </c>
    </row>
    <row r="468" spans="1:1" x14ac:dyDescent="0.25">
      <c r="A468">
        <v>335</v>
      </c>
    </row>
    <row r="469" spans="1:1" x14ac:dyDescent="0.25">
      <c r="A469">
        <v>334</v>
      </c>
    </row>
    <row r="470" spans="1:1" x14ac:dyDescent="0.25">
      <c r="A470">
        <v>333</v>
      </c>
    </row>
    <row r="471" spans="1:1" x14ac:dyDescent="0.25">
      <c r="A471">
        <v>332</v>
      </c>
    </row>
    <row r="472" spans="1:1" x14ac:dyDescent="0.25">
      <c r="A472">
        <v>331</v>
      </c>
    </row>
    <row r="473" spans="1:1" x14ac:dyDescent="0.25">
      <c r="A473">
        <v>330</v>
      </c>
    </row>
    <row r="474" spans="1:1" x14ac:dyDescent="0.25">
      <c r="A474">
        <v>329</v>
      </c>
    </row>
    <row r="475" spans="1:1" x14ac:dyDescent="0.25">
      <c r="A475">
        <v>328</v>
      </c>
    </row>
    <row r="476" spans="1:1" x14ac:dyDescent="0.25">
      <c r="A476">
        <v>327</v>
      </c>
    </row>
    <row r="477" spans="1:1" x14ac:dyDescent="0.25">
      <c r="A477">
        <v>326</v>
      </c>
    </row>
    <row r="478" spans="1:1" x14ac:dyDescent="0.25">
      <c r="A478">
        <v>325</v>
      </c>
    </row>
    <row r="479" spans="1:1" x14ac:dyDescent="0.25">
      <c r="A479">
        <v>324</v>
      </c>
    </row>
    <row r="480" spans="1:1" x14ac:dyDescent="0.25">
      <c r="A480">
        <v>323</v>
      </c>
    </row>
    <row r="481" spans="1:1" x14ac:dyDescent="0.25">
      <c r="A481">
        <v>322</v>
      </c>
    </row>
    <row r="482" spans="1:1" x14ac:dyDescent="0.25">
      <c r="A482">
        <v>321</v>
      </c>
    </row>
    <row r="483" spans="1:1" x14ac:dyDescent="0.25">
      <c r="A483">
        <v>320</v>
      </c>
    </row>
    <row r="484" spans="1:1" x14ac:dyDescent="0.25">
      <c r="A484">
        <v>319</v>
      </c>
    </row>
    <row r="485" spans="1:1" x14ac:dyDescent="0.25">
      <c r="A485">
        <v>318</v>
      </c>
    </row>
    <row r="486" spans="1:1" x14ac:dyDescent="0.25">
      <c r="A486">
        <v>317</v>
      </c>
    </row>
    <row r="487" spans="1:1" x14ac:dyDescent="0.25">
      <c r="A487">
        <v>316</v>
      </c>
    </row>
    <row r="488" spans="1:1" x14ac:dyDescent="0.25">
      <c r="A488">
        <v>315</v>
      </c>
    </row>
    <row r="489" spans="1:1" x14ac:dyDescent="0.25">
      <c r="A489">
        <v>314</v>
      </c>
    </row>
    <row r="490" spans="1:1" x14ac:dyDescent="0.25">
      <c r="A490">
        <v>313</v>
      </c>
    </row>
    <row r="491" spans="1:1" x14ac:dyDescent="0.25">
      <c r="A491">
        <v>312</v>
      </c>
    </row>
    <row r="492" spans="1:1" x14ac:dyDescent="0.25">
      <c r="A492">
        <v>311</v>
      </c>
    </row>
    <row r="493" spans="1:1" x14ac:dyDescent="0.25">
      <c r="A493">
        <v>310</v>
      </c>
    </row>
    <row r="494" spans="1:1" x14ac:dyDescent="0.25">
      <c r="A494">
        <v>309</v>
      </c>
    </row>
    <row r="495" spans="1:1" x14ac:dyDescent="0.25">
      <c r="A495">
        <v>308</v>
      </c>
    </row>
    <row r="496" spans="1:1" x14ac:dyDescent="0.25">
      <c r="A496">
        <v>307</v>
      </c>
    </row>
    <row r="497" spans="1:1" x14ac:dyDescent="0.25">
      <c r="A497">
        <v>306</v>
      </c>
    </row>
    <row r="498" spans="1:1" x14ac:dyDescent="0.25">
      <c r="A498">
        <v>305</v>
      </c>
    </row>
    <row r="499" spans="1:1" x14ac:dyDescent="0.25">
      <c r="A499">
        <v>304</v>
      </c>
    </row>
    <row r="500" spans="1:1" x14ac:dyDescent="0.25">
      <c r="A500">
        <v>303</v>
      </c>
    </row>
    <row r="501" spans="1:1" x14ac:dyDescent="0.25">
      <c r="A501">
        <v>302</v>
      </c>
    </row>
    <row r="502" spans="1:1" x14ac:dyDescent="0.25">
      <c r="A502">
        <v>301</v>
      </c>
    </row>
    <row r="503" spans="1:1" x14ac:dyDescent="0.25">
      <c r="A503">
        <v>300</v>
      </c>
    </row>
    <row r="504" spans="1:1" x14ac:dyDescent="0.25">
      <c r="A504">
        <v>299</v>
      </c>
    </row>
    <row r="505" spans="1:1" x14ac:dyDescent="0.25">
      <c r="A505">
        <v>298</v>
      </c>
    </row>
    <row r="506" spans="1:1" x14ac:dyDescent="0.25">
      <c r="A506">
        <v>297</v>
      </c>
    </row>
    <row r="507" spans="1:1" x14ac:dyDescent="0.25">
      <c r="A507">
        <v>296</v>
      </c>
    </row>
    <row r="508" spans="1:1" x14ac:dyDescent="0.25">
      <c r="A508">
        <v>295</v>
      </c>
    </row>
    <row r="509" spans="1:1" x14ac:dyDescent="0.25">
      <c r="A509">
        <v>294</v>
      </c>
    </row>
    <row r="510" spans="1:1" x14ac:dyDescent="0.25">
      <c r="A510">
        <v>293</v>
      </c>
    </row>
    <row r="511" spans="1:1" x14ac:dyDescent="0.25">
      <c r="A511">
        <v>292</v>
      </c>
    </row>
    <row r="512" spans="1:1" x14ac:dyDescent="0.25">
      <c r="A512">
        <v>291</v>
      </c>
    </row>
    <row r="513" spans="1:1" x14ac:dyDescent="0.25">
      <c r="A513">
        <v>290</v>
      </c>
    </row>
    <row r="514" spans="1:1" x14ac:dyDescent="0.25">
      <c r="A514">
        <v>289</v>
      </c>
    </row>
    <row r="515" spans="1:1" x14ac:dyDescent="0.25">
      <c r="A515">
        <v>288</v>
      </c>
    </row>
    <row r="516" spans="1:1" x14ac:dyDescent="0.25">
      <c r="A516">
        <v>287</v>
      </c>
    </row>
    <row r="517" spans="1:1" x14ac:dyDescent="0.25">
      <c r="A517">
        <v>286</v>
      </c>
    </row>
    <row r="518" spans="1:1" x14ac:dyDescent="0.25">
      <c r="A518">
        <v>285</v>
      </c>
    </row>
    <row r="519" spans="1:1" x14ac:dyDescent="0.25">
      <c r="A519">
        <v>284</v>
      </c>
    </row>
    <row r="520" spans="1:1" x14ac:dyDescent="0.25">
      <c r="A520">
        <v>283</v>
      </c>
    </row>
    <row r="521" spans="1:1" x14ac:dyDescent="0.25">
      <c r="A521">
        <v>282</v>
      </c>
    </row>
    <row r="522" spans="1:1" x14ac:dyDescent="0.25">
      <c r="A522">
        <v>281</v>
      </c>
    </row>
    <row r="523" spans="1:1" x14ac:dyDescent="0.25">
      <c r="A523">
        <v>280</v>
      </c>
    </row>
    <row r="524" spans="1:1" x14ac:dyDescent="0.25">
      <c r="A524">
        <v>279</v>
      </c>
    </row>
    <row r="525" spans="1:1" x14ac:dyDescent="0.25">
      <c r="A525">
        <v>278</v>
      </c>
    </row>
    <row r="526" spans="1:1" x14ac:dyDescent="0.25">
      <c r="A526">
        <v>277</v>
      </c>
    </row>
    <row r="527" spans="1:1" x14ac:dyDescent="0.25">
      <c r="A527">
        <v>276</v>
      </c>
    </row>
    <row r="528" spans="1:1" x14ac:dyDescent="0.25">
      <c r="A528">
        <v>275</v>
      </c>
    </row>
    <row r="529" spans="1:1" x14ac:dyDescent="0.25">
      <c r="A529">
        <v>274</v>
      </c>
    </row>
    <row r="530" spans="1:1" x14ac:dyDescent="0.25">
      <c r="A530">
        <v>273</v>
      </c>
    </row>
    <row r="531" spans="1:1" x14ac:dyDescent="0.25">
      <c r="A531">
        <v>272</v>
      </c>
    </row>
    <row r="532" spans="1:1" x14ac:dyDescent="0.25">
      <c r="A532">
        <v>271</v>
      </c>
    </row>
    <row r="533" spans="1:1" x14ac:dyDescent="0.25">
      <c r="A533">
        <v>270</v>
      </c>
    </row>
    <row r="534" spans="1:1" x14ac:dyDescent="0.25">
      <c r="A534">
        <v>269</v>
      </c>
    </row>
    <row r="535" spans="1:1" x14ac:dyDescent="0.25">
      <c r="A535">
        <v>268</v>
      </c>
    </row>
    <row r="536" spans="1:1" x14ac:dyDescent="0.25">
      <c r="A536">
        <v>267</v>
      </c>
    </row>
    <row r="537" spans="1:1" x14ac:dyDescent="0.25">
      <c r="A537">
        <v>266</v>
      </c>
    </row>
    <row r="538" spans="1:1" x14ac:dyDescent="0.25">
      <c r="A538">
        <v>265</v>
      </c>
    </row>
    <row r="539" spans="1:1" x14ac:dyDescent="0.25">
      <c r="A539">
        <v>264</v>
      </c>
    </row>
    <row r="540" spans="1:1" x14ac:dyDescent="0.25">
      <c r="A540">
        <v>263</v>
      </c>
    </row>
    <row r="541" spans="1:1" x14ac:dyDescent="0.25">
      <c r="A541">
        <v>262</v>
      </c>
    </row>
    <row r="542" spans="1:1" x14ac:dyDescent="0.25">
      <c r="A542">
        <v>261</v>
      </c>
    </row>
    <row r="543" spans="1:1" x14ac:dyDescent="0.25">
      <c r="A543">
        <v>260</v>
      </c>
    </row>
    <row r="544" spans="1:1" x14ac:dyDescent="0.25">
      <c r="A544">
        <v>259</v>
      </c>
    </row>
    <row r="545" spans="1:1" x14ac:dyDescent="0.25">
      <c r="A545">
        <v>258</v>
      </c>
    </row>
    <row r="546" spans="1:1" x14ac:dyDescent="0.25">
      <c r="A546">
        <v>257</v>
      </c>
    </row>
    <row r="547" spans="1:1" x14ac:dyDescent="0.25">
      <c r="A547">
        <v>256</v>
      </c>
    </row>
    <row r="548" spans="1:1" x14ac:dyDescent="0.25">
      <c r="A548">
        <v>255</v>
      </c>
    </row>
    <row r="549" spans="1:1" x14ac:dyDescent="0.25">
      <c r="A549">
        <v>254</v>
      </c>
    </row>
    <row r="550" spans="1:1" x14ac:dyDescent="0.25">
      <c r="A550">
        <v>253</v>
      </c>
    </row>
    <row r="551" spans="1:1" x14ac:dyDescent="0.25">
      <c r="A551">
        <v>252</v>
      </c>
    </row>
    <row r="552" spans="1:1" x14ac:dyDescent="0.25">
      <c r="A552">
        <v>251</v>
      </c>
    </row>
    <row r="553" spans="1:1" x14ac:dyDescent="0.25">
      <c r="A553">
        <v>250</v>
      </c>
    </row>
    <row r="554" spans="1:1" x14ac:dyDescent="0.25">
      <c r="A554">
        <v>249</v>
      </c>
    </row>
    <row r="555" spans="1:1" x14ac:dyDescent="0.25">
      <c r="A555">
        <v>248</v>
      </c>
    </row>
    <row r="556" spans="1:1" x14ac:dyDescent="0.25">
      <c r="A556">
        <v>247</v>
      </c>
    </row>
    <row r="557" spans="1:1" x14ac:dyDescent="0.25">
      <c r="A557">
        <v>246</v>
      </c>
    </row>
    <row r="558" spans="1:1" x14ac:dyDescent="0.25">
      <c r="A558">
        <v>245</v>
      </c>
    </row>
    <row r="559" spans="1:1" x14ac:dyDescent="0.25">
      <c r="A559">
        <v>244</v>
      </c>
    </row>
    <row r="560" spans="1:1" x14ac:dyDescent="0.25">
      <c r="A560">
        <v>243</v>
      </c>
    </row>
    <row r="561" spans="1:1" x14ac:dyDescent="0.25">
      <c r="A561">
        <v>242</v>
      </c>
    </row>
    <row r="562" spans="1:1" x14ac:dyDescent="0.25">
      <c r="A562">
        <v>241</v>
      </c>
    </row>
    <row r="563" spans="1:1" x14ac:dyDescent="0.25">
      <c r="A563">
        <v>240</v>
      </c>
    </row>
    <row r="564" spans="1:1" x14ac:dyDescent="0.25">
      <c r="A564">
        <v>239</v>
      </c>
    </row>
    <row r="565" spans="1:1" x14ac:dyDescent="0.25">
      <c r="A565">
        <v>238</v>
      </c>
    </row>
    <row r="566" spans="1:1" x14ac:dyDescent="0.25">
      <c r="A566">
        <v>237</v>
      </c>
    </row>
    <row r="567" spans="1:1" x14ac:dyDescent="0.25">
      <c r="A567">
        <v>236</v>
      </c>
    </row>
    <row r="568" spans="1:1" x14ac:dyDescent="0.25">
      <c r="A568">
        <v>235</v>
      </c>
    </row>
    <row r="569" spans="1:1" x14ac:dyDescent="0.25">
      <c r="A569">
        <v>234</v>
      </c>
    </row>
    <row r="570" spans="1:1" x14ac:dyDescent="0.25">
      <c r="A570">
        <v>233</v>
      </c>
    </row>
    <row r="571" spans="1:1" x14ac:dyDescent="0.25">
      <c r="A571">
        <v>232</v>
      </c>
    </row>
    <row r="572" spans="1:1" x14ac:dyDescent="0.25">
      <c r="A572">
        <v>231</v>
      </c>
    </row>
    <row r="573" spans="1:1" x14ac:dyDescent="0.25">
      <c r="A573">
        <v>230</v>
      </c>
    </row>
    <row r="574" spans="1:1" x14ac:dyDescent="0.25">
      <c r="A574">
        <v>229</v>
      </c>
    </row>
    <row r="575" spans="1:1" x14ac:dyDescent="0.25">
      <c r="A575">
        <v>228</v>
      </c>
    </row>
    <row r="576" spans="1:1" x14ac:dyDescent="0.25">
      <c r="A576">
        <v>227</v>
      </c>
    </row>
    <row r="577" spans="1:1" x14ac:dyDescent="0.25">
      <c r="A577">
        <v>226</v>
      </c>
    </row>
    <row r="578" spans="1:1" x14ac:dyDescent="0.25">
      <c r="A578">
        <v>225</v>
      </c>
    </row>
    <row r="579" spans="1:1" x14ac:dyDescent="0.25">
      <c r="A579">
        <v>224</v>
      </c>
    </row>
    <row r="580" spans="1:1" x14ac:dyDescent="0.25">
      <c r="A580">
        <v>223</v>
      </c>
    </row>
    <row r="581" spans="1:1" x14ac:dyDescent="0.25">
      <c r="A581">
        <v>222</v>
      </c>
    </row>
    <row r="582" spans="1:1" x14ac:dyDescent="0.25">
      <c r="A582">
        <v>221</v>
      </c>
    </row>
    <row r="583" spans="1:1" x14ac:dyDescent="0.25">
      <c r="A583">
        <v>220</v>
      </c>
    </row>
    <row r="584" spans="1:1" x14ac:dyDescent="0.25">
      <c r="A584">
        <v>219</v>
      </c>
    </row>
    <row r="585" spans="1:1" x14ac:dyDescent="0.25">
      <c r="A585">
        <v>218</v>
      </c>
    </row>
    <row r="586" spans="1:1" x14ac:dyDescent="0.25">
      <c r="A586">
        <v>217</v>
      </c>
    </row>
    <row r="587" spans="1:1" x14ac:dyDescent="0.25">
      <c r="A587">
        <v>216</v>
      </c>
    </row>
    <row r="588" spans="1:1" x14ac:dyDescent="0.25">
      <c r="A588">
        <v>215</v>
      </c>
    </row>
    <row r="589" spans="1:1" x14ac:dyDescent="0.25">
      <c r="A589">
        <v>214</v>
      </c>
    </row>
    <row r="590" spans="1:1" x14ac:dyDescent="0.25">
      <c r="A590">
        <v>213</v>
      </c>
    </row>
    <row r="591" spans="1:1" x14ac:dyDescent="0.25">
      <c r="A591">
        <v>212</v>
      </c>
    </row>
    <row r="592" spans="1:1" x14ac:dyDescent="0.25">
      <c r="A592">
        <v>211</v>
      </c>
    </row>
    <row r="593" spans="1:1" x14ac:dyDescent="0.25">
      <c r="A593">
        <v>210</v>
      </c>
    </row>
    <row r="594" spans="1:1" x14ac:dyDescent="0.25">
      <c r="A594">
        <v>209</v>
      </c>
    </row>
    <row r="595" spans="1:1" x14ac:dyDescent="0.25">
      <c r="A595">
        <v>208</v>
      </c>
    </row>
    <row r="596" spans="1:1" x14ac:dyDescent="0.25">
      <c r="A596">
        <v>207</v>
      </c>
    </row>
    <row r="597" spans="1:1" x14ac:dyDescent="0.25">
      <c r="A597">
        <v>206</v>
      </c>
    </row>
    <row r="598" spans="1:1" x14ac:dyDescent="0.25">
      <c r="A598">
        <v>205</v>
      </c>
    </row>
    <row r="599" spans="1:1" x14ac:dyDescent="0.25">
      <c r="A599">
        <v>204</v>
      </c>
    </row>
    <row r="600" spans="1:1" x14ac:dyDescent="0.25">
      <c r="A600">
        <v>203</v>
      </c>
    </row>
    <row r="601" spans="1:1" x14ac:dyDescent="0.25">
      <c r="A601">
        <v>202</v>
      </c>
    </row>
    <row r="602" spans="1:1" x14ac:dyDescent="0.25">
      <c r="A602">
        <v>201</v>
      </c>
    </row>
    <row r="603" spans="1:1" x14ac:dyDescent="0.25">
      <c r="A603">
        <v>200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HX1" workbookViewId="0">
      <selection activeCell="C1" sqref="C1:IS1048576"/>
    </sheetView>
  </sheetViews>
  <sheetFormatPr baseColWidth="10" defaultRowHeight="15" x14ac:dyDescent="0.25"/>
  <sheetData>
    <row r="1" spans="1:2" x14ac:dyDescent="0.25">
      <c r="A1" t="s">
        <v>27</v>
      </c>
      <c r="B1" t="s">
        <v>28</v>
      </c>
    </row>
    <row r="2" spans="1:2" x14ac:dyDescent="0.25">
      <c r="A2" s="3">
        <f>'REAL CONDITIONS'!S12</f>
        <v>1.0000000000000001E-5</v>
      </c>
      <c r="B2" s="3">
        <f>'REAL CONDITIONS'!T12</f>
        <v>0</v>
      </c>
    </row>
    <row r="3" spans="1:2" x14ac:dyDescent="0.25">
      <c r="A3" s="3">
        <f>'REAL CONDITIONS'!S13</f>
        <v>1.0000000000000001E-5</v>
      </c>
      <c r="B3" s="3">
        <f>'REAL CONDITIONS'!T13</f>
        <v>9.9009900990099039E-7</v>
      </c>
    </row>
    <row r="4" spans="1:2" x14ac:dyDescent="0.25">
      <c r="A4" s="3">
        <f>'REAL CONDITIONS'!S14</f>
        <v>1.0000000000000001E-5</v>
      </c>
      <c r="B4" s="3">
        <f>'REAL CONDITIONS'!T14</f>
        <v>2.4390243902439027E-6</v>
      </c>
    </row>
    <row r="5" spans="1:2" x14ac:dyDescent="0.25">
      <c r="A5" s="3">
        <f>'REAL CONDITIONS'!S15</f>
        <v>1.0000000000000001E-5</v>
      </c>
      <c r="B5" s="3">
        <f>'REAL CONDITIONS'!T15</f>
        <v>4.7619047619047624E-6</v>
      </c>
    </row>
    <row r="6" spans="1:2" x14ac:dyDescent="0.25">
      <c r="A6" s="3">
        <f>'REAL CONDITIONS'!S16</f>
        <v>1.0000000000000001E-5</v>
      </c>
      <c r="B6" s="3">
        <f>'REAL CONDITIONS'!T16</f>
        <v>6.9767441860465119E-6</v>
      </c>
    </row>
    <row r="7" spans="1:2" x14ac:dyDescent="0.25">
      <c r="A7" s="3">
        <f>'REAL CONDITIONS'!S17</f>
        <v>1.0000000000000001E-5</v>
      </c>
      <c r="B7" s="3">
        <f>'REAL CONDITIONS'!T17</f>
        <v>9.090909090909091E-6</v>
      </c>
    </row>
    <row r="8" spans="1:2" x14ac:dyDescent="0.25">
      <c r="A8" s="3">
        <f>'REAL CONDITIONS'!S18</f>
        <v>1.0000000000000001E-5</v>
      </c>
      <c r="B8" s="3">
        <f>'REAL CONDITIONS'!T18</f>
        <v>2.2421524663677129E-5</v>
      </c>
    </row>
    <row r="9" spans="1:2" x14ac:dyDescent="0.25">
      <c r="A9" s="3">
        <f>'REAL CONDITIONS'!S19</f>
        <v>1.0000000000000001E-5</v>
      </c>
      <c r="B9" s="3">
        <f>'REAL CONDITIONS'!T19</f>
        <v>4.3859649122807014E-5</v>
      </c>
    </row>
    <row r="10" spans="1:2" x14ac:dyDescent="0.25">
      <c r="A10" s="3">
        <f>'REAL CONDITIONS'!S20</f>
        <v>1.0000000000000001E-5</v>
      </c>
      <c r="B10" s="3">
        <f>'REAL CONDITIONS'!T20</f>
        <v>6.4377682403433481E-5</v>
      </c>
    </row>
    <row r="11" spans="1:2" x14ac:dyDescent="0.25">
      <c r="A11" s="3">
        <f>'REAL CONDITIONS'!S21</f>
        <v>1.0000000000000001E-5</v>
      </c>
      <c r="B11" s="3">
        <f>'REAL CONDITIONS'!T21</f>
        <v>8.4033613445378154E-5</v>
      </c>
    </row>
    <row r="12" spans="1:2" x14ac:dyDescent="0.25">
      <c r="A12" s="3">
        <f>'REAL CONDITIONS'!S22</f>
        <v>1.0000000000000001E-5</v>
      </c>
      <c r="B12" s="3">
        <f>'REAL CONDITIONS'!T22</f>
        <v>1.6666666666666666E-4</v>
      </c>
    </row>
    <row r="13" spans="1:2" x14ac:dyDescent="0.25">
      <c r="A13" s="3">
        <f>'REAL CONDITIONS'!S23</f>
        <v>1.0000000000000001E-5</v>
      </c>
      <c r="B13" s="3">
        <f>'REAL CONDITIONS'!T23</f>
        <v>4.0650406504065041E-4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Setting-up conditions</vt:lpstr>
      <vt:lpstr>TESTER-ABSORBANCE</vt:lpstr>
      <vt:lpstr>EXPERIMENTAL CONDITIONS</vt:lpstr>
      <vt:lpstr>REAL CONDITIONS</vt:lpstr>
      <vt:lpstr>UV-vis results</vt:lpstr>
      <vt:lpstr>bindfit input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 FREIXA</dc:creator>
  <cp:lastModifiedBy>ZORAIDA FREIXA</cp:lastModifiedBy>
  <dcterms:created xsi:type="dcterms:W3CDTF">2022-07-27T09:48:48Z</dcterms:created>
  <dcterms:modified xsi:type="dcterms:W3CDTF">2022-07-27T10:16:56Z</dcterms:modified>
</cp:coreProperties>
</file>