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scpfezof\Dropbox\TEMPLATES BINDING\"/>
    </mc:Choice>
  </mc:AlternateContent>
  <bookViews>
    <workbookView xWindow="0" yWindow="0" windowWidth="28800" windowHeight="12300" activeTab="1"/>
  </bookViews>
  <sheets>
    <sheet name="Job's Plot FLUO 250" sheetId="4" r:id="rId1"/>
    <sheet name="Job's Plot ABS" sheetId="3" r:id="rId2"/>
    <sheet name="Explanation" sheetId="2" r:id="rId3"/>
  </sheets>
  <definedNames>
    <definedName name="OLE_LINK2" localSheetId="2">Explanation!$B$29</definedName>
    <definedName name="solver_adj" localSheetId="1" hidden="1">'Job''s Plot ABS'!$C$45,'Job''s Plot ABS'!$D$45</definedName>
    <definedName name="solver_adj" localSheetId="0" hidden="1">'Job''s Plot FLUO 250'!$C$45,'Job''s Plot FLUO 250'!$D$45</definedName>
    <definedName name="solver_cvg" localSheetId="1" hidden="1">0.0001</definedName>
    <definedName name="solver_cvg" localSheetId="0" hidden="1">0.0001</definedName>
    <definedName name="solver_drv" localSheetId="1" hidden="1">1</definedName>
    <definedName name="solver_drv" localSheetId="0" hidden="1">1</definedName>
    <definedName name="solver_eng" localSheetId="1" hidden="1">1</definedName>
    <definedName name="solver_eng" localSheetId="0" hidden="1">1</definedName>
    <definedName name="solver_est" localSheetId="1" hidden="1">1</definedName>
    <definedName name="solver_est" localSheetId="0" hidden="1">1</definedName>
    <definedName name="solver_itr" localSheetId="1" hidden="1">2147483647</definedName>
    <definedName name="solver_itr" localSheetId="0" hidden="1">2147483647</definedName>
    <definedName name="solver_mip" localSheetId="1" hidden="1">2147483647</definedName>
    <definedName name="solver_mip" localSheetId="0" hidden="1">2147483647</definedName>
    <definedName name="solver_mni" localSheetId="1" hidden="1">30</definedName>
    <definedName name="solver_mni" localSheetId="0" hidden="1">30</definedName>
    <definedName name="solver_mrt" localSheetId="1" hidden="1">0.075</definedName>
    <definedName name="solver_mrt" localSheetId="0" hidden="1">0.075</definedName>
    <definedName name="solver_msl" localSheetId="1" hidden="1">2</definedName>
    <definedName name="solver_msl" localSheetId="0" hidden="1">2</definedName>
    <definedName name="solver_neg" localSheetId="1" hidden="1">1</definedName>
    <definedName name="solver_neg" localSheetId="0" hidden="1">1</definedName>
    <definedName name="solver_nod" localSheetId="1" hidden="1">2147483647</definedName>
    <definedName name="solver_nod" localSheetId="0" hidden="1">2147483647</definedName>
    <definedName name="solver_num" localSheetId="1" hidden="1">0</definedName>
    <definedName name="solver_num" localSheetId="0" hidden="1">0</definedName>
    <definedName name="solver_nwt" localSheetId="1" hidden="1">1</definedName>
    <definedName name="solver_nwt" localSheetId="0" hidden="1">1</definedName>
    <definedName name="solver_opt" localSheetId="1" hidden="1">'Job''s Plot ABS'!$F$73</definedName>
    <definedName name="solver_opt" localSheetId="0" hidden="1">'Job''s Plot FLUO 250'!$F$90</definedName>
    <definedName name="solver_pre" localSheetId="1" hidden="1">0.000001</definedName>
    <definedName name="solver_pre" localSheetId="0" hidden="1">0.000001</definedName>
    <definedName name="solver_rbv" localSheetId="1" hidden="1">1</definedName>
    <definedName name="solver_rbv" localSheetId="0" hidden="1">1</definedName>
    <definedName name="solver_rlx" localSheetId="1" hidden="1">2</definedName>
    <definedName name="solver_rlx" localSheetId="0" hidden="1">2</definedName>
    <definedName name="solver_rsd" localSheetId="1" hidden="1">0</definedName>
    <definedName name="solver_rsd" localSheetId="0" hidden="1">0</definedName>
    <definedName name="solver_scl" localSheetId="1" hidden="1">1</definedName>
    <definedName name="solver_scl" localSheetId="0" hidden="1">1</definedName>
    <definedName name="solver_sho" localSheetId="1" hidden="1">2</definedName>
    <definedName name="solver_sho" localSheetId="0" hidden="1">2</definedName>
    <definedName name="solver_ssz" localSheetId="1" hidden="1">100</definedName>
    <definedName name="solver_ssz" localSheetId="0" hidden="1">100</definedName>
    <definedName name="solver_tim" localSheetId="1" hidden="1">2147483647</definedName>
    <definedName name="solver_tim" localSheetId="0" hidden="1">2147483647</definedName>
    <definedName name="solver_tol" localSheetId="1" hidden="1">0.01</definedName>
    <definedName name="solver_tol" localSheetId="0" hidden="1">0.01</definedName>
    <definedName name="solver_typ" localSheetId="1" hidden="1">2</definedName>
    <definedName name="solver_typ" localSheetId="0" hidden="1">2</definedName>
    <definedName name="solver_val" localSheetId="1" hidden="1">0</definedName>
    <definedName name="solver_val" localSheetId="0" hidden="1">0</definedName>
    <definedName name="solver_ver" localSheetId="1" hidden="1">3</definedName>
    <definedName name="solver_ver" localSheetId="0" hidden="1">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1" i="4" l="1"/>
  <c r="D70" i="4"/>
  <c r="D69" i="4"/>
  <c r="D68" i="4"/>
  <c r="D67" i="4"/>
  <c r="D66" i="4"/>
  <c r="D65" i="4"/>
  <c r="D64" i="4"/>
  <c r="D63" i="4"/>
  <c r="D62" i="4"/>
  <c r="D61" i="4"/>
  <c r="E30" i="4"/>
  <c r="C25" i="4"/>
  <c r="B25" i="4"/>
  <c r="C24" i="4"/>
  <c r="B24" i="4"/>
  <c r="A19" i="4"/>
  <c r="C17" i="4"/>
  <c r="E13" i="4" s="1"/>
  <c r="E12" i="4"/>
  <c r="C9" i="4"/>
  <c r="E6" i="4"/>
  <c r="F39" i="4" s="1"/>
  <c r="E5" i="4"/>
  <c r="J39" i="4" l="1"/>
  <c r="C55" i="4" s="1"/>
  <c r="G36" i="4"/>
  <c r="D25" i="4"/>
  <c r="G39" i="4"/>
  <c r="G41" i="4"/>
  <c r="G37" i="4"/>
  <c r="G33" i="4"/>
  <c r="G38" i="4"/>
  <c r="G34" i="4"/>
  <c r="G31" i="4"/>
  <c r="G35" i="4"/>
  <c r="G40" i="4"/>
  <c r="G32" i="4"/>
  <c r="F34" i="4"/>
  <c r="F38" i="4"/>
  <c r="D24" i="4"/>
  <c r="H39" i="4" s="1"/>
  <c r="F33" i="4"/>
  <c r="F37" i="4"/>
  <c r="F41" i="4"/>
  <c r="F32" i="4"/>
  <c r="F36" i="4"/>
  <c r="F40" i="4"/>
  <c r="F31" i="4"/>
  <c r="F35" i="4"/>
  <c r="E6" i="3"/>
  <c r="F39" i="3" s="1"/>
  <c r="C9" i="3"/>
  <c r="D71" i="3"/>
  <c r="D70" i="3"/>
  <c r="D69" i="3"/>
  <c r="D68" i="3"/>
  <c r="D67" i="3"/>
  <c r="D66" i="3"/>
  <c r="D65" i="3"/>
  <c r="D64" i="3"/>
  <c r="D63" i="3"/>
  <c r="D62" i="3"/>
  <c r="D61" i="3"/>
  <c r="E30" i="3"/>
  <c r="C25" i="3"/>
  <c r="B25" i="3"/>
  <c r="C24" i="3"/>
  <c r="B24" i="3"/>
  <c r="A19" i="3"/>
  <c r="C17" i="3"/>
  <c r="E13" i="3" s="1"/>
  <c r="G41" i="3" s="1"/>
  <c r="E12" i="3"/>
  <c r="E5" i="3"/>
  <c r="H40" i="4" l="1"/>
  <c r="J40" i="4"/>
  <c r="C56" i="4" s="1"/>
  <c r="H36" i="4"/>
  <c r="C66" i="4"/>
  <c r="C83" i="4" s="1"/>
  <c r="J36" i="4"/>
  <c r="C52" i="4" s="1"/>
  <c r="J34" i="4"/>
  <c r="C50" i="4" s="1"/>
  <c r="C64" i="4"/>
  <c r="C81" i="4" s="1"/>
  <c r="H34" i="4"/>
  <c r="K34" i="4"/>
  <c r="H32" i="4"/>
  <c r="K32" i="4"/>
  <c r="J32" i="4"/>
  <c r="C48" i="4" s="1"/>
  <c r="J41" i="4"/>
  <c r="C57" i="4" s="1"/>
  <c r="H41" i="4"/>
  <c r="K41" i="4"/>
  <c r="C67" i="4"/>
  <c r="C84" i="4" s="1"/>
  <c r="J37" i="4"/>
  <c r="C53" i="4" s="1"/>
  <c r="H37" i="4"/>
  <c r="K37" i="4"/>
  <c r="J33" i="4"/>
  <c r="C49" i="4" s="1"/>
  <c r="H33" i="4"/>
  <c r="D55" i="4"/>
  <c r="F55" i="4" s="1"/>
  <c r="I39" i="4"/>
  <c r="D86" i="4" s="1"/>
  <c r="I35" i="4"/>
  <c r="I31" i="4"/>
  <c r="I38" i="4"/>
  <c r="I34" i="4"/>
  <c r="I36" i="4"/>
  <c r="I40" i="4"/>
  <c r="I32" i="4"/>
  <c r="I41" i="4"/>
  <c r="I37" i="4"/>
  <c r="I33" i="4"/>
  <c r="C65" i="4"/>
  <c r="C82" i="4" s="1"/>
  <c r="K35" i="4"/>
  <c r="J35" i="4"/>
  <c r="C51" i="4" s="1"/>
  <c r="H35" i="4"/>
  <c r="K39" i="4"/>
  <c r="J31" i="4"/>
  <c r="C47" i="4" s="1"/>
  <c r="K31" i="4"/>
  <c r="H31" i="4"/>
  <c r="D78" i="4" s="1"/>
  <c r="J38" i="4"/>
  <c r="C54" i="4" s="1"/>
  <c r="C68" i="4"/>
  <c r="C85" i="4" s="1"/>
  <c r="H38" i="4"/>
  <c r="K38" i="4"/>
  <c r="C69" i="4"/>
  <c r="C86" i="4" s="1"/>
  <c r="F41" i="3"/>
  <c r="F35" i="3"/>
  <c r="D24" i="3"/>
  <c r="F36" i="3"/>
  <c r="F40" i="3"/>
  <c r="H40" i="3" s="1"/>
  <c r="F31" i="3"/>
  <c r="H31" i="3" s="1"/>
  <c r="F32" i="3"/>
  <c r="H32" i="3" s="1"/>
  <c r="H41" i="3"/>
  <c r="J41" i="3"/>
  <c r="C57" i="3" s="1"/>
  <c r="D25" i="3"/>
  <c r="F34" i="3"/>
  <c r="H35" i="3"/>
  <c r="F38" i="3"/>
  <c r="H39" i="3"/>
  <c r="H36" i="3"/>
  <c r="G31" i="3"/>
  <c r="G35" i="3"/>
  <c r="G39" i="3"/>
  <c r="G34" i="3"/>
  <c r="G38" i="3"/>
  <c r="F33" i="3"/>
  <c r="F37" i="3"/>
  <c r="J39" i="3"/>
  <c r="C55" i="3" s="1"/>
  <c r="G32" i="3"/>
  <c r="G36" i="3"/>
  <c r="G40" i="3"/>
  <c r="G33" i="3"/>
  <c r="G37" i="3"/>
  <c r="D49" i="4" l="1"/>
  <c r="D51" i="4"/>
  <c r="C63" i="4"/>
  <c r="C80" i="4" s="1"/>
  <c r="C62" i="4"/>
  <c r="C79" i="4" s="1"/>
  <c r="D83" i="4"/>
  <c r="J55" i="4"/>
  <c r="L55" i="4" s="1"/>
  <c r="D79" i="4"/>
  <c r="D88" i="4"/>
  <c r="G55" i="4"/>
  <c r="E86" i="4"/>
  <c r="F86" i="4" s="1"/>
  <c r="I55" i="4"/>
  <c r="D57" i="4"/>
  <c r="K40" i="4"/>
  <c r="D56" i="4" s="1"/>
  <c r="D47" i="4"/>
  <c r="D85" i="4"/>
  <c r="C61" i="4"/>
  <c r="C78" i="4" s="1"/>
  <c r="K33" i="4"/>
  <c r="C71" i="4"/>
  <c r="C88" i="4" s="1"/>
  <c r="D81" i="4"/>
  <c r="C70" i="4"/>
  <c r="C87" i="4" s="1"/>
  <c r="D48" i="4"/>
  <c r="D87" i="4"/>
  <c r="D84" i="4"/>
  <c r="D54" i="4"/>
  <c r="D82" i="4"/>
  <c r="D80" i="4"/>
  <c r="D53" i="4"/>
  <c r="D50" i="4"/>
  <c r="K36" i="4"/>
  <c r="D52" i="4" s="1"/>
  <c r="J40" i="3"/>
  <c r="J35" i="3"/>
  <c r="C51" i="3" s="1"/>
  <c r="J32" i="3"/>
  <c r="C48" i="3" s="1"/>
  <c r="C56" i="3"/>
  <c r="K40" i="3"/>
  <c r="C70" i="3"/>
  <c r="C87" i="3" s="1"/>
  <c r="H37" i="3"/>
  <c r="J37" i="3"/>
  <c r="C53" i="3" s="1"/>
  <c r="J34" i="3"/>
  <c r="C50" i="3" s="1"/>
  <c r="H34" i="3"/>
  <c r="J31" i="3"/>
  <c r="J33" i="3"/>
  <c r="C49" i="3" s="1"/>
  <c r="H33" i="3"/>
  <c r="C69" i="3"/>
  <c r="C86" i="3" s="1"/>
  <c r="D86" i="3"/>
  <c r="I38" i="3"/>
  <c r="I34" i="3"/>
  <c r="I32" i="3"/>
  <c r="I41" i="3"/>
  <c r="D88" i="3" s="1"/>
  <c r="I37" i="3"/>
  <c r="I33" i="3"/>
  <c r="I39" i="3"/>
  <c r="I35" i="3"/>
  <c r="D82" i="3" s="1"/>
  <c r="I31" i="3"/>
  <c r="D78" i="3" s="1"/>
  <c r="I40" i="3"/>
  <c r="D87" i="3" s="1"/>
  <c r="I36" i="3"/>
  <c r="K32" i="3"/>
  <c r="K39" i="3"/>
  <c r="D55" i="3" s="1"/>
  <c r="C65" i="3"/>
  <c r="C82" i="3" s="1"/>
  <c r="J38" i="3"/>
  <c r="C54" i="3" s="1"/>
  <c r="H38" i="3"/>
  <c r="C71" i="3"/>
  <c r="C88" i="3" s="1"/>
  <c r="K35" i="3"/>
  <c r="D83" i="3"/>
  <c r="D79" i="3"/>
  <c r="J36" i="3"/>
  <c r="K41" i="3"/>
  <c r="D57" i="3" s="1"/>
  <c r="C62" i="3"/>
  <c r="C79" i="3" s="1"/>
  <c r="D51" i="3" l="1"/>
  <c r="D48" i="3"/>
  <c r="F48" i="3" s="1"/>
  <c r="F56" i="4"/>
  <c r="J56" i="4"/>
  <c r="L56" i="4" s="1"/>
  <c r="F52" i="4"/>
  <c r="J52" i="4"/>
  <c r="L52" i="4" s="1"/>
  <c r="F50" i="4"/>
  <c r="J50" i="4"/>
  <c r="L50" i="4" s="1"/>
  <c r="F57" i="4"/>
  <c r="J57" i="4"/>
  <c r="L57" i="4" s="1"/>
  <c r="F53" i="4"/>
  <c r="J53" i="4"/>
  <c r="L53" i="4" s="1"/>
  <c r="M55" i="4"/>
  <c r="K55" i="4"/>
  <c r="H55" i="4" s="1"/>
  <c r="E69" i="4" s="1"/>
  <c r="F69" i="4" s="1"/>
  <c r="F51" i="4"/>
  <c r="J51" i="4"/>
  <c r="L51" i="4" s="1"/>
  <c r="F48" i="4"/>
  <c r="J48" i="4"/>
  <c r="L48" i="4" s="1"/>
  <c r="F54" i="4"/>
  <c r="J54" i="4"/>
  <c r="L54" i="4" s="1"/>
  <c r="F49" i="4"/>
  <c r="J49" i="4"/>
  <c r="L49" i="4" s="1"/>
  <c r="F47" i="4"/>
  <c r="J47" i="4"/>
  <c r="L47" i="4" s="1"/>
  <c r="C67" i="3"/>
  <c r="C84" i="3" s="1"/>
  <c r="K37" i="3"/>
  <c r="D80" i="3"/>
  <c r="D84" i="3"/>
  <c r="C68" i="3"/>
  <c r="C85" i="3" s="1"/>
  <c r="C64" i="3"/>
  <c r="C81" i="3" s="1"/>
  <c r="F51" i="3"/>
  <c r="J51" i="3"/>
  <c r="L51" i="3" s="1"/>
  <c r="F55" i="3"/>
  <c r="J55" i="3"/>
  <c r="L55" i="3" s="1"/>
  <c r="F57" i="3"/>
  <c r="J57" i="3"/>
  <c r="L57" i="3" s="1"/>
  <c r="G48" i="3"/>
  <c r="E79" i="3"/>
  <c r="F79" i="3" s="1"/>
  <c r="I48" i="3"/>
  <c r="K33" i="3"/>
  <c r="D49" i="3" s="1"/>
  <c r="C47" i="3"/>
  <c r="C61" i="3"/>
  <c r="C78" i="3" s="1"/>
  <c r="K31" i="3"/>
  <c r="C52" i="3"/>
  <c r="C66" i="3"/>
  <c r="C83" i="3" s="1"/>
  <c r="K36" i="3"/>
  <c r="K38" i="3"/>
  <c r="D54" i="3" s="1"/>
  <c r="C63" i="3"/>
  <c r="C80" i="3" s="1"/>
  <c r="K34" i="3"/>
  <c r="D50" i="3" s="1"/>
  <c r="D85" i="3"/>
  <c r="D81" i="3"/>
  <c r="D53" i="3"/>
  <c r="D56" i="3"/>
  <c r="J48" i="3" l="1"/>
  <c r="L48" i="3" s="1"/>
  <c r="G57" i="4"/>
  <c r="E88" i="4"/>
  <c r="F88" i="4" s="1"/>
  <c r="I57" i="4"/>
  <c r="G47" i="4"/>
  <c r="E78" i="4"/>
  <c r="F78" i="4" s="1"/>
  <c r="I47" i="4"/>
  <c r="E81" i="4"/>
  <c r="F81" i="4" s="1"/>
  <c r="G50" i="4"/>
  <c r="I50" i="4"/>
  <c r="E85" i="4"/>
  <c r="F85" i="4" s="1"/>
  <c r="G54" i="4"/>
  <c r="I54" i="4"/>
  <c r="G48" i="4"/>
  <c r="E79" i="4"/>
  <c r="F79" i="4" s="1"/>
  <c r="I48" i="4"/>
  <c r="G53" i="4"/>
  <c r="E84" i="4"/>
  <c r="F84" i="4" s="1"/>
  <c r="I53" i="4"/>
  <c r="E83" i="4"/>
  <c r="F83" i="4" s="1"/>
  <c r="G52" i="4"/>
  <c r="I52" i="4"/>
  <c r="E80" i="4"/>
  <c r="F80" i="4" s="1"/>
  <c r="G49" i="4"/>
  <c r="I49" i="4"/>
  <c r="G51" i="4"/>
  <c r="E82" i="4"/>
  <c r="F82" i="4" s="1"/>
  <c r="I51" i="4"/>
  <c r="E87" i="4"/>
  <c r="F87" i="4" s="1"/>
  <c r="G56" i="4"/>
  <c r="I56" i="4"/>
  <c r="D47" i="3"/>
  <c r="F47" i="3" s="1"/>
  <c r="F50" i="3"/>
  <c r="J50" i="3"/>
  <c r="L50" i="3" s="1"/>
  <c r="F49" i="3"/>
  <c r="J49" i="3"/>
  <c r="L49" i="3" s="1"/>
  <c r="F54" i="3"/>
  <c r="J54" i="3"/>
  <c r="L54" i="3" s="1"/>
  <c r="E88" i="3"/>
  <c r="F88" i="3" s="1"/>
  <c r="G57" i="3"/>
  <c r="I57" i="3"/>
  <c r="G55" i="3"/>
  <c r="E86" i="3"/>
  <c r="F86" i="3" s="1"/>
  <c r="I55" i="3"/>
  <c r="F56" i="3"/>
  <c r="J56" i="3"/>
  <c r="L56" i="3" s="1"/>
  <c r="F53" i="3"/>
  <c r="J53" i="3"/>
  <c r="L53" i="3" s="1"/>
  <c r="G51" i="3"/>
  <c r="I51" i="3"/>
  <c r="E82" i="3"/>
  <c r="F82" i="3" s="1"/>
  <c r="M48" i="3"/>
  <c r="K48" i="3"/>
  <c r="H48" i="3" s="1"/>
  <c r="E62" i="3" s="1"/>
  <c r="F62" i="3" s="1"/>
  <c r="D52" i="3"/>
  <c r="J47" i="3" l="1"/>
  <c r="L47" i="3" s="1"/>
  <c r="M48" i="4"/>
  <c r="K48" i="4"/>
  <c r="M47" i="4"/>
  <c r="K47" i="4"/>
  <c r="H47" i="4" s="1"/>
  <c r="E61" i="4" s="1"/>
  <c r="F61" i="4" s="1"/>
  <c r="F90" i="4"/>
  <c r="M54" i="4"/>
  <c r="K54" i="4"/>
  <c r="H54" i="4" s="1"/>
  <c r="E68" i="4" s="1"/>
  <c r="F68" i="4" s="1"/>
  <c r="K49" i="4"/>
  <c r="H49" i="4" s="1"/>
  <c r="E63" i="4" s="1"/>
  <c r="F63" i="4" s="1"/>
  <c r="M49" i="4"/>
  <c r="M56" i="4"/>
  <c r="K56" i="4"/>
  <c r="H56" i="4" s="1"/>
  <c r="E70" i="4" s="1"/>
  <c r="F70" i="4" s="1"/>
  <c r="H48" i="4"/>
  <c r="E62" i="4" s="1"/>
  <c r="F62" i="4" s="1"/>
  <c r="M51" i="4"/>
  <c r="K51" i="4"/>
  <c r="H51" i="4" s="1"/>
  <c r="E65" i="4" s="1"/>
  <c r="F65" i="4" s="1"/>
  <c r="K57" i="4"/>
  <c r="H57" i="4" s="1"/>
  <c r="E71" i="4" s="1"/>
  <c r="F71" i="4" s="1"/>
  <c r="M57" i="4"/>
  <c r="M52" i="4"/>
  <c r="K52" i="4"/>
  <c r="H52" i="4" s="1"/>
  <c r="E66" i="4" s="1"/>
  <c r="F66" i="4" s="1"/>
  <c r="K53" i="4"/>
  <c r="H53" i="4" s="1"/>
  <c r="E67" i="4" s="1"/>
  <c r="F67" i="4" s="1"/>
  <c r="M53" i="4"/>
  <c r="M50" i="4"/>
  <c r="K50" i="4"/>
  <c r="H50" i="4" s="1"/>
  <c r="E64" i="4" s="1"/>
  <c r="F64" i="4" s="1"/>
  <c r="G56" i="3"/>
  <c r="E87" i="3"/>
  <c r="F87" i="3" s="1"/>
  <c r="I56" i="3"/>
  <c r="M51" i="3"/>
  <c r="K51" i="3"/>
  <c r="H51" i="3" s="1"/>
  <c r="E65" i="3" s="1"/>
  <c r="F65" i="3" s="1"/>
  <c r="M55" i="3"/>
  <c r="K55" i="3"/>
  <c r="H55" i="3" s="1"/>
  <c r="E69" i="3" s="1"/>
  <c r="F69" i="3" s="1"/>
  <c r="E85" i="3"/>
  <c r="F85" i="3" s="1"/>
  <c r="G54" i="3"/>
  <c r="I54" i="3"/>
  <c r="F52" i="3"/>
  <c r="J52" i="3"/>
  <c r="L52" i="3" s="1"/>
  <c r="E84" i="3"/>
  <c r="F84" i="3" s="1"/>
  <c r="G53" i="3"/>
  <c r="I53" i="3"/>
  <c r="G49" i="3"/>
  <c r="E80" i="3"/>
  <c r="F80" i="3" s="1"/>
  <c r="I49" i="3"/>
  <c r="K57" i="3"/>
  <c r="H57" i="3" s="1"/>
  <c r="E71" i="3" s="1"/>
  <c r="F71" i="3" s="1"/>
  <c r="M57" i="3"/>
  <c r="G47" i="3"/>
  <c r="E78" i="3"/>
  <c r="F78" i="3" s="1"/>
  <c r="I47" i="3"/>
  <c r="E81" i="3"/>
  <c r="F81" i="3" s="1"/>
  <c r="G50" i="3"/>
  <c r="I50" i="3"/>
  <c r="F73" i="4" l="1"/>
  <c r="K53" i="3"/>
  <c r="M53" i="3"/>
  <c r="H53" i="3"/>
  <c r="E67" i="3" s="1"/>
  <c r="F67" i="3" s="1"/>
  <c r="K49" i="3"/>
  <c r="M49" i="3"/>
  <c r="E83" i="3"/>
  <c r="F83" i="3" s="1"/>
  <c r="F90" i="3" s="1"/>
  <c r="G52" i="3"/>
  <c r="I52" i="3"/>
  <c r="K54" i="3"/>
  <c r="H54" i="3" s="1"/>
  <c r="E68" i="3" s="1"/>
  <c r="F68" i="3" s="1"/>
  <c r="M54" i="3"/>
  <c r="M56" i="3"/>
  <c r="K56" i="3"/>
  <c r="H56" i="3" s="1"/>
  <c r="E70" i="3" s="1"/>
  <c r="F70" i="3" s="1"/>
  <c r="M47" i="3"/>
  <c r="K47" i="3"/>
  <c r="H47" i="3" s="1"/>
  <c r="E61" i="3" s="1"/>
  <c r="F61" i="3" s="1"/>
  <c r="H49" i="3"/>
  <c r="E63" i="3" s="1"/>
  <c r="F63" i="3" s="1"/>
  <c r="K50" i="3"/>
  <c r="H50" i="3" s="1"/>
  <c r="E64" i="3" s="1"/>
  <c r="F64" i="3" s="1"/>
  <c r="M50" i="3"/>
  <c r="M52" i="3" l="1"/>
  <c r="K52" i="3"/>
  <c r="H52" i="3" s="1"/>
  <c r="E66" i="3" s="1"/>
  <c r="F66" i="3" s="1"/>
  <c r="F73" i="3" s="1"/>
</calcChain>
</file>

<file path=xl/sharedStrings.xml><?xml version="1.0" encoding="utf-8"?>
<sst xmlns="http://schemas.openxmlformats.org/spreadsheetml/2006/main" count="163" uniqueCount="78">
  <si>
    <t>Job's plot analysis</t>
  </si>
  <si>
    <t>1. Prepare a host stock solution and measure the absorbance spectra (sample 0)</t>
  </si>
  <si>
    <t>MW</t>
  </si>
  <si>
    <t>volume  (mL)</t>
  </si>
  <si>
    <t>FBI-G3</t>
  </si>
  <si>
    <t>Ba(ClO4)2</t>
  </si>
  <si>
    <t>weight (mg)</t>
  </si>
  <si>
    <t>volume (mL)</t>
  </si>
  <si>
    <t>picked up (mL)</t>
  </si>
  <si>
    <t>diluted to (mL)</t>
  </si>
  <si>
    <t>mol/L</t>
  </si>
  <si>
    <t>purity (%)</t>
  </si>
  <si>
    <t>concentration (M)</t>
  </si>
  <si>
    <r>
      <t>lambda measurement (</t>
    </r>
    <r>
      <rPr>
        <sz val="11"/>
        <color theme="1"/>
        <rFont val="Symbol"/>
        <family val="1"/>
        <charset val="2"/>
      </rPr>
      <t>l</t>
    </r>
    <r>
      <rPr>
        <vertAlign val="subscript"/>
        <sz val="11"/>
        <color theme="1"/>
        <rFont val="Calibri"/>
        <family val="2"/>
        <scheme val="minor"/>
      </rPr>
      <t>obs</t>
    </r>
    <r>
      <rPr>
        <sz val="11"/>
        <color theme="1"/>
        <rFont val="Calibri"/>
        <family val="2"/>
        <scheme val="minor"/>
      </rPr>
      <t>)</t>
    </r>
  </si>
  <si>
    <t>experiment</t>
  </si>
  <si>
    <t>added amount of stock solutions</t>
  </si>
  <si>
    <t>0. Input data into gray cells only. Do not modify the rest. Light gray text is calculated automatically.</t>
  </si>
  <si>
    <t>Host (mL)</t>
  </si>
  <si>
    <t>Guest (mL)</t>
  </si>
  <si>
    <t>Ka</t>
  </si>
  <si>
    <r>
      <rPr>
        <b/>
        <sz val="11"/>
        <color theme="9" tint="-0.249977111117893"/>
        <rFont val="Symbol"/>
        <family val="1"/>
        <charset val="2"/>
      </rPr>
      <t>e</t>
    </r>
    <r>
      <rPr>
        <b/>
        <sz val="11"/>
        <color theme="9" tint="-0.249977111117893"/>
        <rFont val="Calibri"/>
        <family val="2"/>
        <scheme val="minor"/>
      </rPr>
      <t>HG</t>
    </r>
  </si>
  <si>
    <r>
      <t>[HG]</t>
    </r>
    <r>
      <rPr>
        <b/>
        <vertAlign val="subscript"/>
        <sz val="11"/>
        <color theme="1"/>
        <rFont val="Calibri"/>
        <family val="2"/>
        <scheme val="minor"/>
      </rPr>
      <t>forecasted</t>
    </r>
  </si>
  <si>
    <r>
      <t>A</t>
    </r>
    <r>
      <rPr>
        <b/>
        <vertAlign val="subscript"/>
        <sz val="11"/>
        <color theme="1"/>
        <rFont val="Calibri"/>
        <family val="2"/>
        <scheme val="minor"/>
      </rPr>
      <t>HG forecasted</t>
    </r>
  </si>
  <si>
    <r>
      <t>A</t>
    </r>
    <r>
      <rPr>
        <b/>
        <vertAlign val="subscript"/>
        <sz val="11"/>
        <color theme="1"/>
        <rFont val="Calibri"/>
        <family val="2"/>
        <scheme val="minor"/>
      </rPr>
      <t>obs</t>
    </r>
  </si>
  <si>
    <r>
      <t>A</t>
    </r>
    <r>
      <rPr>
        <b/>
        <vertAlign val="subscript"/>
        <sz val="11"/>
        <color theme="1"/>
        <rFont val="Calibri"/>
        <family val="2"/>
        <scheme val="minor"/>
      </rPr>
      <t>obs forecasted</t>
    </r>
  </si>
  <si>
    <t>5. Concentration and contribution of HG is calculated based on approximate values of K and epsilon (optimized with Solve tool)</t>
  </si>
  <si>
    <r>
      <t>[H]</t>
    </r>
    <r>
      <rPr>
        <vertAlign val="subscript"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/([H]</t>
    </r>
    <r>
      <rPr>
        <vertAlign val="subscript"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+[G]</t>
    </r>
    <r>
      <rPr>
        <vertAlign val="subscript"/>
        <sz val="11"/>
        <color theme="1"/>
        <rFont val="Calibri"/>
        <family val="2"/>
        <scheme val="minor"/>
      </rPr>
      <t>t)</t>
    </r>
  </si>
  <si>
    <r>
      <rPr>
        <sz val="11"/>
        <color theme="1"/>
        <rFont val="Symbol"/>
        <family val="1"/>
        <charset val="2"/>
      </rPr>
      <t>C</t>
    </r>
    <r>
      <rPr>
        <vertAlign val="subscript"/>
        <sz val="11"/>
        <color theme="1"/>
        <rFont val="Calibri"/>
        <family val="2"/>
        <scheme val="minor"/>
      </rPr>
      <t>H</t>
    </r>
  </si>
  <si>
    <r>
      <t>A</t>
    </r>
    <r>
      <rPr>
        <b/>
        <vertAlign val="subscript"/>
        <sz val="11"/>
        <color theme="1"/>
        <rFont val="Calibri"/>
        <family val="2"/>
        <scheme val="minor"/>
      </rPr>
      <t xml:space="preserve">obs </t>
    </r>
  </si>
  <si>
    <r>
      <t>[H]</t>
    </r>
    <r>
      <rPr>
        <b/>
        <vertAlign val="subscript"/>
        <sz val="11"/>
        <color theme="1"/>
        <rFont val="Calibri"/>
        <family val="2"/>
        <scheme val="minor"/>
      </rPr>
      <t>0</t>
    </r>
  </si>
  <si>
    <r>
      <t>[G]</t>
    </r>
    <r>
      <rPr>
        <b/>
        <vertAlign val="subscript"/>
        <sz val="11"/>
        <color theme="1"/>
        <rFont val="Calibri"/>
        <family val="2"/>
        <scheme val="minor"/>
      </rPr>
      <t>0</t>
    </r>
  </si>
  <si>
    <t>di^2</t>
  </si>
  <si>
    <r>
      <rPr>
        <b/>
        <sz val="11"/>
        <color theme="9" tint="-0.249977111117893"/>
        <rFont val="Symbol"/>
        <family val="1"/>
        <charset val="2"/>
      </rPr>
      <t>S</t>
    </r>
    <r>
      <rPr>
        <b/>
        <sz val="11"/>
        <color theme="9" tint="-0.249977111117893"/>
        <rFont val="Calibri"/>
        <family val="2"/>
        <scheme val="minor"/>
      </rPr>
      <t>di^2</t>
    </r>
  </si>
  <si>
    <r>
      <t>A</t>
    </r>
    <r>
      <rPr>
        <b/>
        <vertAlign val="subscript"/>
        <sz val="11"/>
        <color theme="1"/>
        <rFont val="Calibri"/>
        <family val="2"/>
        <scheme val="minor"/>
      </rPr>
      <t>H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vertAlign val="subscript"/>
        <sz val="11"/>
        <color theme="1"/>
        <rFont val="Calibri"/>
        <family val="2"/>
        <scheme val="minor"/>
      </rPr>
      <t>forec</t>
    </r>
  </si>
  <si>
    <r>
      <t>[H]</t>
    </r>
    <r>
      <rPr>
        <b/>
        <vertAlign val="subscript"/>
        <sz val="11"/>
        <color theme="1"/>
        <rFont val="Calibri"/>
        <family val="2"/>
        <scheme val="minor"/>
      </rPr>
      <t>forecasted</t>
    </r>
  </si>
  <si>
    <r>
      <t>[G]</t>
    </r>
    <r>
      <rPr>
        <b/>
        <vertAlign val="subscript"/>
        <sz val="11"/>
        <color theme="1"/>
        <rFont val="Calibri"/>
        <family val="2"/>
        <scheme val="minor"/>
      </rPr>
      <t>forecasted</t>
    </r>
  </si>
  <si>
    <r>
      <t>A</t>
    </r>
    <r>
      <rPr>
        <vertAlign val="subscript"/>
        <sz val="11"/>
        <color theme="1"/>
        <rFont val="Calibri"/>
        <family val="2"/>
        <scheme val="minor"/>
      </rPr>
      <t>obs</t>
    </r>
    <r>
      <rPr>
        <sz val="11"/>
        <color theme="1"/>
        <rFont val="Calibri"/>
        <family val="2"/>
        <scheme val="minor"/>
      </rPr>
      <t>-A</t>
    </r>
    <r>
      <rPr>
        <vertAlign val="subscript"/>
        <sz val="11"/>
        <color theme="1"/>
        <rFont val="Calibri"/>
        <family val="2"/>
        <scheme val="minor"/>
      </rPr>
      <t>h0contrib</t>
    </r>
    <r>
      <rPr>
        <sz val="11"/>
        <color theme="1"/>
        <rFont val="Calibri"/>
        <family val="2"/>
        <scheme val="minor"/>
      </rPr>
      <t>-A</t>
    </r>
    <r>
      <rPr>
        <vertAlign val="subscript"/>
        <sz val="11"/>
        <color theme="1"/>
        <rFont val="Calibri"/>
        <family val="2"/>
        <scheme val="minor"/>
      </rPr>
      <t>g0contrib</t>
    </r>
  </si>
  <si>
    <t>experimental</t>
  </si>
  <si>
    <t>forecasted</t>
  </si>
  <si>
    <t xml:space="preserve">This representation is based on the publication #7524 </t>
  </si>
  <si>
    <t>Journal of inclusion phenomena and macrocyclic chemistry, 2001, 39, 193</t>
  </si>
  <si>
    <t>2. Prepare a concentrated guest stock solution and dilute to desired concentration. Calculation done for an absorbing guest, but it will correct automatically for non absorbing ones.</t>
  </si>
  <si>
    <t>If it does not work: 1) activate Solver  2) Activate "desarrollador" 3) Desarrollador/herramientas/referencias/activar solver</t>
  </si>
  <si>
    <t>If the avobe does not work, execute Solver manually</t>
  </si>
  <si>
    <t>Y=[HG]/C</t>
  </si>
  <si>
    <r>
      <t>[H]</t>
    </r>
    <r>
      <rPr>
        <b/>
        <vertAlign val="subscript"/>
        <sz val="11"/>
        <color theme="1"/>
        <rFont val="Calibri"/>
        <family val="2"/>
        <scheme val="minor"/>
      </rPr>
      <t>0</t>
    </r>
    <r>
      <rPr>
        <b/>
        <sz val="11"/>
        <color theme="1"/>
        <rFont val="Calibri"/>
        <family val="2"/>
        <scheme val="minor"/>
      </rPr>
      <t>+[G]</t>
    </r>
    <r>
      <rPr>
        <b/>
        <vertAlign val="subscript"/>
        <sz val="11"/>
        <color theme="1"/>
        <rFont val="Calibri"/>
        <family val="2"/>
        <scheme val="minor"/>
      </rPr>
      <t>0</t>
    </r>
    <r>
      <rPr>
        <b/>
        <sz val="11"/>
        <color theme="1"/>
        <rFont val="Calibri"/>
        <family val="2"/>
        <scheme val="minor"/>
      </rPr>
      <t>=C</t>
    </r>
  </si>
  <si>
    <t>m=K*C</t>
  </si>
  <si>
    <r>
      <t>e</t>
    </r>
    <r>
      <rPr>
        <b/>
        <vertAlign val="subscript"/>
        <sz val="11"/>
        <color theme="1"/>
        <rFont val="Calibri Light"/>
        <family val="2"/>
        <scheme val="major"/>
      </rPr>
      <t>H</t>
    </r>
    <r>
      <rPr>
        <b/>
        <sz val="11"/>
        <color theme="1"/>
        <rFont val="Calibri Light"/>
        <family val="2"/>
        <scheme val="major"/>
      </rPr>
      <t>*[H]</t>
    </r>
    <r>
      <rPr>
        <b/>
        <vertAlign val="subscript"/>
        <sz val="11"/>
        <color theme="1"/>
        <rFont val="Calibri Light"/>
        <family val="2"/>
        <scheme val="major"/>
      </rPr>
      <t xml:space="preserve">0 </t>
    </r>
  </si>
  <si>
    <r>
      <t>e</t>
    </r>
    <r>
      <rPr>
        <b/>
        <vertAlign val="subscript"/>
        <sz val="11"/>
        <color theme="1"/>
        <rFont val="Calibri Light"/>
        <family val="2"/>
        <scheme val="major"/>
      </rPr>
      <t>G</t>
    </r>
    <r>
      <rPr>
        <b/>
        <sz val="11"/>
        <color theme="1"/>
        <rFont val="Calibri Light"/>
        <family val="2"/>
        <scheme val="major"/>
      </rPr>
      <t>*[G]</t>
    </r>
    <r>
      <rPr>
        <b/>
        <vertAlign val="subscript"/>
        <sz val="11"/>
        <color theme="1"/>
        <rFont val="Calibri Light"/>
        <family val="2"/>
        <scheme val="major"/>
      </rPr>
      <t xml:space="preserve">0 </t>
    </r>
  </si>
  <si>
    <r>
      <rPr>
        <b/>
        <sz val="11"/>
        <color theme="1"/>
        <rFont val="Symbol"/>
        <family val="1"/>
        <charset val="2"/>
      </rPr>
      <t>C</t>
    </r>
    <r>
      <rPr>
        <b/>
        <vertAlign val="subscript"/>
        <sz val="11"/>
        <color theme="1"/>
        <rFont val="Calibri"/>
        <family val="2"/>
        <scheme val="minor"/>
      </rPr>
      <t>H</t>
    </r>
  </si>
  <si>
    <r>
      <t>[H]</t>
    </r>
    <r>
      <rPr>
        <b/>
        <vertAlign val="subscript"/>
        <sz val="11"/>
        <color theme="1"/>
        <rFont val="Calibri"/>
        <family val="2"/>
        <scheme val="minor"/>
      </rPr>
      <t>t</t>
    </r>
    <r>
      <rPr>
        <b/>
        <sz val="11"/>
        <color theme="1"/>
        <rFont val="Calibri"/>
        <family val="2"/>
        <scheme val="minor"/>
      </rPr>
      <t>/([H]</t>
    </r>
    <r>
      <rPr>
        <b/>
        <vertAlign val="subscript"/>
        <sz val="11"/>
        <color theme="1"/>
        <rFont val="Calibri"/>
        <family val="2"/>
        <scheme val="minor"/>
      </rPr>
      <t>t</t>
    </r>
    <r>
      <rPr>
        <b/>
        <sz val="11"/>
        <color theme="1"/>
        <rFont val="Calibri"/>
        <family val="2"/>
        <scheme val="minor"/>
      </rPr>
      <t>+[G]</t>
    </r>
    <r>
      <rPr>
        <b/>
        <vertAlign val="subscript"/>
        <sz val="11"/>
        <color theme="1"/>
        <rFont val="Calibri"/>
        <family val="2"/>
        <scheme val="minor"/>
      </rPr>
      <t>t)</t>
    </r>
  </si>
  <si>
    <t>Y*C</t>
  </si>
  <si>
    <r>
      <t>Y*C*</t>
    </r>
    <r>
      <rPr>
        <sz val="11"/>
        <color rgb="FFC00000"/>
        <rFont val="Symbol"/>
        <family val="1"/>
        <charset val="2"/>
      </rPr>
      <t>e</t>
    </r>
    <r>
      <rPr>
        <vertAlign val="subscript"/>
        <sz val="11"/>
        <color rgb="FFC00000"/>
        <rFont val="Calibri"/>
        <family val="2"/>
        <scheme val="minor"/>
      </rPr>
      <t>HG</t>
    </r>
  </si>
  <si>
    <r>
      <t>[H]</t>
    </r>
    <r>
      <rPr>
        <vertAlign val="subscript"/>
        <sz val="11"/>
        <color rgb="FFC00000"/>
        <rFont val="Calibri"/>
        <family val="2"/>
        <scheme val="minor"/>
      </rPr>
      <t>0</t>
    </r>
    <r>
      <rPr>
        <sz val="11"/>
        <color rgb="FFC00000"/>
        <rFont val="Calibri"/>
        <family val="2"/>
        <scheme val="minor"/>
      </rPr>
      <t>-(Y*C)</t>
    </r>
  </si>
  <si>
    <r>
      <rPr>
        <sz val="11"/>
        <color rgb="FFC00000"/>
        <rFont val="Calibri"/>
        <family val="2"/>
        <scheme val="minor"/>
      </rPr>
      <t>[G]</t>
    </r>
    <r>
      <rPr>
        <vertAlign val="subscript"/>
        <sz val="11"/>
        <color rgb="FFC00000"/>
        <rFont val="Calibri"/>
        <family val="2"/>
        <scheme val="minor"/>
      </rPr>
      <t>0</t>
    </r>
    <r>
      <rPr>
        <sz val="11"/>
        <color rgb="FFC00000"/>
        <rFont val="Calibri"/>
        <family val="2"/>
        <scheme val="minor"/>
      </rPr>
      <t>-(Y*C)</t>
    </r>
  </si>
  <si>
    <r>
      <t>A</t>
    </r>
    <r>
      <rPr>
        <b/>
        <vertAlign val="subscript"/>
        <sz val="11"/>
        <color theme="1"/>
        <rFont val="Calibri"/>
        <family val="2"/>
        <scheme val="minor"/>
      </rPr>
      <t>G forec</t>
    </r>
  </si>
  <si>
    <t>Starting values</t>
  </si>
  <si>
    <t xml:space="preserve"> </t>
  </si>
  <si>
    <t>Comprobation</t>
  </si>
  <si>
    <r>
      <t>[HG]x(</t>
    </r>
    <r>
      <rPr>
        <sz val="11"/>
        <color theme="1"/>
        <rFont val="Symbol"/>
        <family val="1"/>
        <charset val="2"/>
      </rPr>
      <t>e</t>
    </r>
    <r>
      <rPr>
        <vertAlign val="subscript"/>
        <sz val="11"/>
        <color theme="1"/>
        <rFont val="Calibri"/>
        <family val="2"/>
        <scheme val="minor"/>
      </rPr>
      <t>HG</t>
    </r>
    <r>
      <rPr>
        <sz val="11"/>
        <color theme="1"/>
        <rFont val="Calibri"/>
        <family val="2"/>
        <scheme val="minor"/>
      </rPr>
      <t>-</t>
    </r>
    <r>
      <rPr>
        <sz val="11"/>
        <color theme="1"/>
        <rFont val="Symbol"/>
        <family val="1"/>
        <charset val="2"/>
      </rPr>
      <t>e</t>
    </r>
    <r>
      <rPr>
        <vertAlign val="subscript"/>
        <sz val="11"/>
        <color theme="1"/>
        <rFont val="Calibri"/>
        <family val="2"/>
        <scheme val="minor"/>
      </rPr>
      <t>H</t>
    </r>
    <r>
      <rPr>
        <sz val="11"/>
        <color theme="1"/>
        <rFont val="Calibri"/>
        <family val="2"/>
        <scheme val="minor"/>
      </rPr>
      <t>-</t>
    </r>
    <r>
      <rPr>
        <sz val="11"/>
        <color theme="1"/>
        <rFont val="Symbol"/>
        <family val="1"/>
        <charset val="2"/>
      </rPr>
      <t>e</t>
    </r>
    <r>
      <rPr>
        <vertAlign val="subscript"/>
        <sz val="11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>)</t>
    </r>
  </si>
  <si>
    <t>6. Graphs (don't do anything).</t>
  </si>
  <si>
    <t>7. Solver: minimize F73 and F90, respectively, using as variables C46 and D46. Put estimates in variables and Press buttons.</t>
  </si>
  <si>
    <t>HOST stock concentrated</t>
  </si>
  <si>
    <t>GUEST stock concentrated</t>
  </si>
  <si>
    <t>I "corrected" the excel they show and made it functional</t>
  </si>
  <si>
    <r>
      <t>f</t>
    </r>
    <r>
      <rPr>
        <vertAlign val="subscript"/>
        <sz val="11"/>
        <color theme="1"/>
        <rFont val="Calibri"/>
        <family val="2"/>
        <scheme val="minor"/>
      </rPr>
      <t xml:space="preserve">H </t>
    </r>
    <r>
      <rPr>
        <sz val="11"/>
        <color theme="1"/>
        <rFont val="Calibri"/>
        <family val="2"/>
        <scheme val="minor"/>
      </rPr>
      <t>or</t>
    </r>
    <r>
      <rPr>
        <vertAlign val="subscript"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Symbol"/>
        <family val="1"/>
        <charset val="2"/>
      </rPr>
      <t>f</t>
    </r>
    <r>
      <rPr>
        <vertAlign val="subscript"/>
        <sz val="11"/>
        <color theme="1"/>
        <rFont val="Calibri"/>
        <family val="2"/>
        <scheme val="minor"/>
      </rPr>
      <t>G</t>
    </r>
  </si>
  <si>
    <t xml:space="preserve">Fluorescence </t>
  </si>
  <si>
    <t>1. Prepare a host stock solution and measure the emission spectra (sample 0)</t>
  </si>
  <si>
    <r>
      <t>lambda excitation (</t>
    </r>
    <r>
      <rPr>
        <sz val="11"/>
        <color theme="1"/>
        <rFont val="Symbol"/>
        <family val="1"/>
        <charset val="2"/>
      </rPr>
      <t>l</t>
    </r>
    <r>
      <rPr>
        <vertAlign val="subscript"/>
        <sz val="11"/>
        <color theme="1"/>
        <rFont val="Calibri"/>
        <family val="2"/>
        <scheme val="minor"/>
      </rPr>
      <t>exc</t>
    </r>
    <r>
      <rPr>
        <sz val="11"/>
        <color theme="1"/>
        <rFont val="Calibri"/>
        <family val="2"/>
        <scheme val="minor"/>
      </rPr>
      <t>)</t>
    </r>
  </si>
  <si>
    <t>Fluorescence</t>
  </si>
  <si>
    <r>
      <t>F</t>
    </r>
    <r>
      <rPr>
        <b/>
        <vertAlign val="subscript"/>
        <sz val="11"/>
        <color theme="1"/>
        <rFont val="Calibri"/>
        <family val="2"/>
        <scheme val="minor"/>
      </rPr>
      <t>obs</t>
    </r>
  </si>
  <si>
    <r>
      <t>f</t>
    </r>
    <r>
      <rPr>
        <b/>
        <vertAlign val="subscript"/>
        <sz val="11"/>
        <color theme="1"/>
        <rFont val="Calibri Light"/>
        <family val="2"/>
        <scheme val="major"/>
      </rPr>
      <t>H</t>
    </r>
    <r>
      <rPr>
        <b/>
        <sz val="11"/>
        <color theme="1"/>
        <rFont val="Calibri Light"/>
        <family val="2"/>
        <scheme val="major"/>
      </rPr>
      <t>*[H]</t>
    </r>
    <r>
      <rPr>
        <b/>
        <vertAlign val="subscript"/>
        <sz val="11"/>
        <color theme="1"/>
        <rFont val="Calibri Light"/>
        <family val="2"/>
        <scheme val="major"/>
      </rPr>
      <t xml:space="preserve">0 </t>
    </r>
  </si>
  <si>
    <r>
      <t>f</t>
    </r>
    <r>
      <rPr>
        <b/>
        <vertAlign val="subscript"/>
        <sz val="11"/>
        <color theme="1"/>
        <rFont val="Calibri Light"/>
        <family val="2"/>
        <scheme val="major"/>
      </rPr>
      <t>G</t>
    </r>
    <r>
      <rPr>
        <b/>
        <sz val="11"/>
        <color theme="1"/>
        <rFont val="Calibri Light"/>
        <family val="2"/>
        <scheme val="major"/>
      </rPr>
      <t>*[G]</t>
    </r>
    <r>
      <rPr>
        <b/>
        <vertAlign val="subscript"/>
        <sz val="11"/>
        <color theme="1"/>
        <rFont val="Calibri Light"/>
        <family val="2"/>
        <scheme val="major"/>
      </rPr>
      <t xml:space="preserve">0 </t>
    </r>
  </si>
  <si>
    <r>
      <t>F</t>
    </r>
    <r>
      <rPr>
        <b/>
        <vertAlign val="subscript"/>
        <sz val="11"/>
        <color theme="1"/>
        <rFont val="Calibri"/>
        <family val="2"/>
        <scheme val="minor"/>
      </rPr>
      <t xml:space="preserve">obs </t>
    </r>
  </si>
  <si>
    <r>
      <t>F</t>
    </r>
    <r>
      <rPr>
        <b/>
        <vertAlign val="subscript"/>
        <sz val="11"/>
        <color theme="1"/>
        <rFont val="Calibri"/>
        <family val="2"/>
        <scheme val="minor"/>
      </rPr>
      <t>obs forecasted</t>
    </r>
  </si>
  <si>
    <r>
      <t>F</t>
    </r>
    <r>
      <rPr>
        <vertAlign val="subscript"/>
        <sz val="11"/>
        <color theme="1"/>
        <rFont val="Calibri"/>
        <family val="2"/>
        <scheme val="minor"/>
      </rPr>
      <t>obs</t>
    </r>
    <r>
      <rPr>
        <sz val="11"/>
        <color theme="1"/>
        <rFont val="Calibri"/>
        <family val="2"/>
        <scheme val="minor"/>
      </rPr>
      <t>-F</t>
    </r>
    <r>
      <rPr>
        <vertAlign val="subscript"/>
        <sz val="11"/>
        <color theme="1"/>
        <rFont val="Calibri"/>
        <family val="2"/>
        <scheme val="minor"/>
      </rPr>
      <t>H0contrib</t>
    </r>
    <r>
      <rPr>
        <sz val="11"/>
        <color theme="1"/>
        <rFont val="Calibri"/>
        <family val="2"/>
        <scheme val="minor"/>
      </rPr>
      <t>-F</t>
    </r>
    <r>
      <rPr>
        <vertAlign val="subscript"/>
        <sz val="11"/>
        <color theme="1"/>
        <rFont val="Calibri"/>
        <family val="2"/>
        <scheme val="minor"/>
      </rPr>
      <t>G0contrib</t>
    </r>
  </si>
  <si>
    <r>
      <t>[HG]x(</t>
    </r>
    <r>
      <rPr>
        <sz val="11"/>
        <color theme="1"/>
        <rFont val="Symbol"/>
        <family val="1"/>
        <charset val="2"/>
      </rPr>
      <t>f</t>
    </r>
    <r>
      <rPr>
        <vertAlign val="subscript"/>
        <sz val="11"/>
        <color theme="1"/>
        <rFont val="Calibri"/>
        <family val="2"/>
        <scheme val="minor"/>
      </rPr>
      <t>HG</t>
    </r>
    <r>
      <rPr>
        <sz val="11"/>
        <color theme="1"/>
        <rFont val="Calibri"/>
        <family val="2"/>
        <scheme val="minor"/>
      </rPr>
      <t>-</t>
    </r>
    <r>
      <rPr>
        <sz val="11"/>
        <color theme="1"/>
        <rFont val="Symbol"/>
        <family val="1"/>
        <charset val="2"/>
      </rPr>
      <t>f</t>
    </r>
    <r>
      <rPr>
        <vertAlign val="subscript"/>
        <sz val="11"/>
        <color theme="1"/>
        <rFont val="Calibri"/>
        <family val="2"/>
        <scheme val="minor"/>
      </rPr>
      <t>H</t>
    </r>
    <r>
      <rPr>
        <sz val="11"/>
        <color theme="1"/>
        <rFont val="Calibri"/>
        <family val="2"/>
        <scheme val="minor"/>
      </rPr>
      <t>-</t>
    </r>
    <r>
      <rPr>
        <sz val="11"/>
        <color theme="1"/>
        <rFont val="Symbol"/>
        <family val="1"/>
        <charset val="2"/>
      </rPr>
      <t>f</t>
    </r>
    <r>
      <rPr>
        <vertAlign val="subscript"/>
        <sz val="11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>)</t>
    </r>
  </si>
  <si>
    <r>
      <rPr>
        <b/>
        <sz val="11"/>
        <color theme="9" tint="-0.249977111117893"/>
        <rFont val="Symbol"/>
        <family val="1"/>
        <charset val="2"/>
      </rPr>
      <t>f</t>
    </r>
    <r>
      <rPr>
        <b/>
        <vertAlign val="subscript"/>
        <sz val="11"/>
        <color theme="9" tint="-0.249977111117893"/>
        <rFont val="Calibri"/>
        <family val="2"/>
        <scheme val="minor"/>
      </rPr>
      <t>HG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</si>
</sst>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&quot; nm&quot;"/>
    <numFmt numFmtId="165" formatCode="0.0000"/>
    <numFmt numFmtId="166" formatCode="0.0000E+00"/>
  </numFmts>
  <fonts count="2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1"/>
      <color theme="1"/>
      <name val="Symbol"/>
      <family val="1"/>
      <charset val="2"/>
    </font>
    <font>
      <vertAlign val="subscript"/>
      <sz val="11"/>
      <color theme="1"/>
      <name val="Calibri"/>
      <family val="2"/>
      <scheme val="minor"/>
    </font>
    <font>
      <sz val="11"/>
      <color theme="2" tint="-0.499984740745262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b/>
      <sz val="11"/>
      <color theme="9" tint="-0.249977111117893"/>
      <name val="Symbol"/>
      <family val="1"/>
      <charset val="2"/>
    </font>
    <font>
      <b/>
      <sz val="11"/>
      <color theme="1"/>
      <name val="Symbol"/>
      <family val="1"/>
      <charset val="2"/>
    </font>
    <font>
      <b/>
      <vertAlign val="subscript"/>
      <sz val="11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b/>
      <vertAlign val="subscript"/>
      <sz val="11"/>
      <color theme="1"/>
      <name val="Calibri"/>
      <family val="2"/>
      <scheme val="minor"/>
    </font>
    <font>
      <sz val="14"/>
      <color rgb="FF008000"/>
      <name val="Calibri"/>
      <family val="2"/>
    </font>
    <font>
      <sz val="11"/>
      <color rgb="FFC00000"/>
      <name val="Symbol"/>
      <family val="1"/>
      <charset val="2"/>
    </font>
    <font>
      <vertAlign val="subscript"/>
      <sz val="11"/>
      <color rgb="FFC00000"/>
      <name val="Calibri"/>
      <family val="2"/>
      <scheme val="minor"/>
    </font>
    <font>
      <b/>
      <vertAlign val="subscript"/>
      <sz val="11"/>
      <color theme="9" tint="-0.249977111117893"/>
      <name val="Calibri"/>
      <family val="2"/>
      <scheme val="minor"/>
    </font>
    <font>
      <sz val="14"/>
      <color rgb="FF339966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6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rgb="FF0070C0"/>
      </left>
      <right/>
      <top style="medium">
        <color rgb="FF0070C0"/>
      </top>
      <bottom/>
      <diagonal/>
    </border>
    <border>
      <left/>
      <right style="medium">
        <color rgb="FF0070C0"/>
      </right>
      <top style="medium">
        <color rgb="FF0070C0"/>
      </top>
      <bottom/>
      <diagonal/>
    </border>
    <border>
      <left style="medium">
        <color rgb="FF0070C0"/>
      </left>
      <right/>
      <top/>
      <bottom style="medium">
        <color rgb="FF0070C0"/>
      </bottom>
      <diagonal/>
    </border>
    <border>
      <left/>
      <right style="medium">
        <color rgb="FF0070C0"/>
      </right>
      <top/>
      <bottom style="medium">
        <color rgb="FF0070C0"/>
      </bottom>
      <diagonal/>
    </border>
    <border>
      <left style="medium">
        <color rgb="FF0070C0"/>
      </left>
      <right/>
      <top/>
      <bottom/>
      <diagonal/>
    </border>
    <border>
      <left/>
      <right style="medium">
        <color rgb="FF0070C0"/>
      </right>
      <top/>
      <bottom/>
      <diagonal/>
    </border>
    <border>
      <left style="medium">
        <color rgb="FF0070C0"/>
      </left>
      <right/>
      <top style="medium">
        <color rgb="FF0070C0"/>
      </top>
      <bottom style="thin">
        <color rgb="FF0070C0"/>
      </bottom>
      <diagonal/>
    </border>
    <border>
      <left/>
      <right style="medium">
        <color rgb="FF0070C0"/>
      </right>
      <top style="medium">
        <color rgb="FF0070C0"/>
      </top>
      <bottom style="thin">
        <color rgb="FF0070C0"/>
      </bottom>
      <diagonal/>
    </border>
    <border>
      <left style="medium">
        <color rgb="FFC00000"/>
      </left>
      <right/>
      <top style="medium">
        <color rgb="FFC00000"/>
      </top>
      <bottom/>
      <diagonal/>
    </border>
    <border>
      <left/>
      <right style="medium">
        <color rgb="FFC00000"/>
      </right>
      <top style="medium">
        <color rgb="FFC00000"/>
      </top>
      <bottom/>
      <diagonal/>
    </border>
    <border>
      <left style="medium">
        <color rgb="FFC00000"/>
      </left>
      <right/>
      <top/>
      <bottom/>
      <diagonal/>
    </border>
    <border>
      <left/>
      <right style="medium">
        <color rgb="FFC00000"/>
      </right>
      <top/>
      <bottom/>
      <diagonal/>
    </border>
    <border>
      <left style="medium">
        <color rgb="FFC00000"/>
      </left>
      <right/>
      <top/>
      <bottom style="medium">
        <color rgb="FFC00000"/>
      </bottom>
      <diagonal/>
    </border>
    <border>
      <left/>
      <right style="medium">
        <color rgb="FFC00000"/>
      </right>
      <top/>
      <bottom style="medium">
        <color rgb="FFC00000"/>
      </bottom>
      <diagonal/>
    </border>
    <border>
      <left style="medium">
        <color rgb="FFC00000"/>
      </left>
      <right/>
      <top style="medium">
        <color rgb="FFC00000"/>
      </top>
      <bottom style="thin">
        <color rgb="FFC00000"/>
      </bottom>
      <diagonal/>
    </border>
    <border>
      <left/>
      <right style="medium">
        <color rgb="FFC00000"/>
      </right>
      <top style="medium">
        <color rgb="FFC00000"/>
      </top>
      <bottom style="thin">
        <color rgb="FFC0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/>
      <diagonal/>
    </border>
    <border>
      <left style="medium">
        <color rgb="FFC00000"/>
      </left>
      <right style="medium">
        <color rgb="FFC00000"/>
      </right>
      <top/>
      <bottom style="medium">
        <color rgb="FFC00000"/>
      </bottom>
      <diagonal/>
    </border>
    <border>
      <left style="medium">
        <color theme="1" tint="4.9989318521683403E-2"/>
      </left>
      <right/>
      <top style="medium">
        <color theme="1" tint="4.9989318521683403E-2"/>
      </top>
      <bottom style="medium">
        <color theme="1" tint="4.9989318521683403E-2"/>
      </bottom>
      <diagonal/>
    </border>
    <border>
      <left/>
      <right style="medium">
        <color theme="1" tint="4.9989318521683403E-2"/>
      </right>
      <top style="medium">
        <color theme="1" tint="4.9989318521683403E-2"/>
      </top>
      <bottom style="medium">
        <color theme="1" tint="4.9989318521683403E-2"/>
      </bottom>
      <diagonal/>
    </border>
    <border>
      <left style="medium">
        <color theme="1" tint="4.9989318521683403E-2"/>
      </left>
      <right/>
      <top style="medium">
        <color theme="1" tint="4.9989318521683403E-2"/>
      </top>
      <bottom/>
      <diagonal/>
    </border>
    <border>
      <left/>
      <right/>
      <top style="medium">
        <color theme="1" tint="4.9989318521683403E-2"/>
      </top>
      <bottom/>
      <diagonal/>
    </border>
    <border>
      <left/>
      <right style="medium">
        <color theme="1" tint="4.9989318521683403E-2"/>
      </right>
      <top style="medium">
        <color theme="1" tint="4.9989318521683403E-2"/>
      </top>
      <bottom/>
      <diagonal/>
    </border>
    <border>
      <left style="medium">
        <color theme="1" tint="4.9989318521683403E-2"/>
      </left>
      <right/>
      <top/>
      <bottom/>
      <diagonal/>
    </border>
    <border>
      <left/>
      <right style="medium">
        <color theme="1" tint="4.9989318521683403E-2"/>
      </right>
      <top/>
      <bottom/>
      <diagonal/>
    </border>
    <border>
      <left style="medium">
        <color theme="1" tint="4.9989318521683403E-2"/>
      </left>
      <right/>
      <top/>
      <bottom style="medium">
        <color theme="1" tint="4.9989318521683403E-2"/>
      </bottom>
      <diagonal/>
    </border>
    <border>
      <left/>
      <right/>
      <top/>
      <bottom style="medium">
        <color theme="1" tint="4.9989318521683403E-2"/>
      </bottom>
      <diagonal/>
    </border>
    <border>
      <left/>
      <right style="medium">
        <color theme="1" tint="4.9989318521683403E-2"/>
      </right>
      <top/>
      <bottom style="medium">
        <color theme="1" tint="4.9989318521683403E-2"/>
      </bottom>
      <diagonal/>
    </border>
    <border>
      <left style="medium">
        <color theme="9" tint="-0.249977111117893"/>
      </left>
      <right/>
      <top style="medium">
        <color theme="9" tint="-0.249977111117893"/>
      </top>
      <bottom/>
      <diagonal/>
    </border>
    <border>
      <left/>
      <right style="medium">
        <color theme="9" tint="-0.249977111117893"/>
      </right>
      <top style="medium">
        <color theme="9" tint="-0.249977111117893"/>
      </top>
      <bottom/>
      <diagonal/>
    </border>
    <border>
      <left style="medium">
        <color theme="9" tint="-0.249977111117893"/>
      </left>
      <right/>
      <top/>
      <bottom style="medium">
        <color theme="9" tint="-0.249977111117893"/>
      </bottom>
      <diagonal/>
    </border>
    <border>
      <left/>
      <right style="medium">
        <color theme="9" tint="-0.249977111117893"/>
      </right>
      <top/>
      <bottom style="medium">
        <color theme="9" tint="-0.249977111117893"/>
      </bottom>
      <diagonal/>
    </border>
    <border>
      <left/>
      <right/>
      <top/>
      <bottom style="thin">
        <color theme="9" tint="-0.249977111117893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theme="9" tint="-0.249977111117893"/>
      </left>
      <right style="medium">
        <color theme="9" tint="-0.249977111117893"/>
      </right>
      <top/>
      <bottom style="medium">
        <color theme="9" tint="-0.249977111117893"/>
      </bottom>
      <diagonal/>
    </border>
    <border>
      <left style="medium">
        <color theme="9" tint="-0.249977111117893"/>
      </left>
      <right style="medium">
        <color theme="9" tint="-0.249977111117893"/>
      </right>
      <top/>
      <bottom/>
      <diagonal/>
    </border>
    <border>
      <left/>
      <right/>
      <top style="medium">
        <color theme="9" tint="-0.249977111117893"/>
      </top>
      <bottom/>
      <diagonal/>
    </border>
    <border>
      <left style="medium">
        <color theme="9" tint="-0.249977111117893"/>
      </left>
      <right/>
      <top/>
      <bottom/>
      <diagonal/>
    </border>
    <border>
      <left/>
      <right style="medium">
        <color theme="9" tint="-0.249977111117893"/>
      </right>
      <top/>
      <bottom/>
      <diagonal/>
    </border>
    <border>
      <left/>
      <right/>
      <top/>
      <bottom style="medium">
        <color theme="9" tint="-0.249977111117893"/>
      </bottom>
      <diagonal/>
    </border>
    <border>
      <left style="medium">
        <color theme="9" tint="-0.249977111117893"/>
      </left>
      <right/>
      <top/>
      <bottom style="thin">
        <color theme="9" tint="-0.249977111117893"/>
      </bottom>
      <diagonal/>
    </border>
    <border>
      <left/>
      <right style="medium">
        <color theme="9" tint="-0.249977111117893"/>
      </right>
      <top/>
      <bottom style="thin">
        <color theme="9" tint="-0.249977111117893"/>
      </bottom>
      <diagonal/>
    </border>
    <border>
      <left style="medium">
        <color theme="9" tint="-0.249977111117893"/>
      </left>
      <right/>
      <top style="medium">
        <color theme="9" tint="-0.249977111117893"/>
      </top>
      <bottom style="medium">
        <color theme="9" tint="-0.249977111117893"/>
      </bottom>
      <diagonal/>
    </border>
    <border>
      <left/>
      <right style="medium">
        <color theme="9" tint="-0.249977111117893"/>
      </right>
      <top style="medium">
        <color theme="9" tint="-0.249977111117893"/>
      </top>
      <bottom style="medium">
        <color theme="9" tint="-0.249977111117893"/>
      </bottom>
      <diagonal/>
    </border>
    <border>
      <left style="medium">
        <color rgb="FF0070C0"/>
      </left>
      <right style="medium">
        <color rgb="FF0070C0"/>
      </right>
      <top style="medium">
        <color rgb="FF0070C0"/>
      </top>
      <bottom/>
      <diagonal/>
    </border>
    <border>
      <left style="medium">
        <color rgb="FF0070C0"/>
      </left>
      <right style="medium">
        <color rgb="FF0070C0"/>
      </right>
      <top/>
      <bottom style="medium">
        <color rgb="FF0070C0"/>
      </bottom>
      <diagonal/>
    </border>
  </borders>
  <cellStyleXfs count="1">
    <xf numFmtId="0" fontId="0" fillId="0" borderId="0"/>
  </cellStyleXfs>
  <cellXfs count="136">
    <xf numFmtId="0" fontId="0" fillId="0" borderId="0" xfId="0"/>
    <xf numFmtId="0" fontId="1" fillId="0" borderId="0" xfId="0" applyFont="1"/>
    <xf numFmtId="0" fontId="0" fillId="0" borderId="0" xfId="0" applyBorder="1"/>
    <xf numFmtId="0" fontId="0" fillId="0" borderId="17" xfId="0" applyFill="1" applyBorder="1"/>
    <xf numFmtId="0" fontId="0" fillId="0" borderId="15" xfId="0" applyFill="1" applyBorder="1"/>
    <xf numFmtId="0" fontId="1" fillId="0" borderId="19" xfId="0" applyFont="1" applyFill="1" applyBorder="1"/>
    <xf numFmtId="0" fontId="0" fillId="0" borderId="23" xfId="0" applyFont="1" applyBorder="1"/>
    <xf numFmtId="0" fontId="1" fillId="0" borderId="27" xfId="0" applyFont="1" applyBorder="1"/>
    <xf numFmtId="0" fontId="0" fillId="0" borderId="29" xfId="0" applyBorder="1"/>
    <xf numFmtId="0" fontId="0" fillId="0" borderId="23" xfId="0" applyBorder="1"/>
    <xf numFmtId="0" fontId="6" fillId="0" borderId="0" xfId="0" applyFont="1"/>
    <xf numFmtId="0" fontId="0" fillId="0" borderId="25" xfId="0" applyFont="1" applyFill="1" applyBorder="1"/>
    <xf numFmtId="0" fontId="0" fillId="2" borderId="18" xfId="0" applyFill="1" applyBorder="1"/>
    <xf numFmtId="0" fontId="0" fillId="2" borderId="24" xfId="0" applyFont="1" applyFill="1" applyBorder="1"/>
    <xf numFmtId="0" fontId="0" fillId="2" borderId="24" xfId="0" applyFill="1" applyBorder="1"/>
    <xf numFmtId="0" fontId="0" fillId="2" borderId="30" xfId="0" applyFill="1" applyBorder="1"/>
    <xf numFmtId="0" fontId="7" fillId="0" borderId="21" xfId="0" applyFont="1" applyBorder="1"/>
    <xf numFmtId="0" fontId="7" fillId="0" borderId="22" xfId="0" applyFont="1" applyBorder="1"/>
    <xf numFmtId="0" fontId="0" fillId="0" borderId="31" xfId="0" applyBorder="1"/>
    <xf numFmtId="0" fontId="0" fillId="0" borderId="33" xfId="0" applyBorder="1"/>
    <xf numFmtId="0" fontId="0" fillId="0" borderId="34" xfId="0" applyBorder="1"/>
    <xf numFmtId="0" fontId="2" fillId="0" borderId="36" xfId="0" applyFont="1" applyBorder="1"/>
    <xf numFmtId="0" fontId="4" fillId="0" borderId="38" xfId="0" applyFont="1" applyBorder="1"/>
    <xf numFmtId="164" fontId="0" fillId="2" borderId="32" xfId="0" applyNumberFormat="1" applyFill="1" applyBorder="1"/>
    <xf numFmtId="0" fontId="8" fillId="0" borderId="35" xfId="0" applyFont="1" applyBorder="1" applyAlignment="1">
      <alignment horizontal="center"/>
    </xf>
    <xf numFmtId="11" fontId="10" fillId="0" borderId="26" xfId="0" applyNumberFormat="1" applyFont="1" applyBorder="1"/>
    <xf numFmtId="11" fontId="10" fillId="0" borderId="15" xfId="0" applyNumberFormat="1" applyFont="1" applyFill="1" applyBorder="1"/>
    <xf numFmtId="11" fontId="10" fillId="0" borderId="25" xfId="0" applyNumberFormat="1" applyFont="1" applyBorder="1"/>
    <xf numFmtId="0" fontId="10" fillId="0" borderId="26" xfId="0" applyFont="1" applyBorder="1"/>
    <xf numFmtId="0" fontId="10" fillId="0" borderId="16" xfId="0" applyFont="1" applyBorder="1"/>
    <xf numFmtId="0" fontId="1" fillId="2" borderId="20" xfId="0" applyFont="1" applyFill="1" applyBorder="1" applyAlignment="1">
      <alignment horizontal="center"/>
    </xf>
    <xf numFmtId="0" fontId="1" fillId="2" borderId="28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2" fontId="10" fillId="0" borderId="37" xfId="0" applyNumberFormat="1" applyFont="1" applyBorder="1" applyAlignment="1">
      <alignment horizontal="center"/>
    </xf>
    <xf numFmtId="0" fontId="10" fillId="0" borderId="39" xfId="0" applyFont="1" applyFill="1" applyBorder="1" applyAlignment="1">
      <alignment horizontal="center"/>
    </xf>
    <xf numFmtId="2" fontId="10" fillId="0" borderId="40" xfId="0" applyNumberFormat="1" applyFont="1" applyBorder="1" applyAlignment="1">
      <alignment horizontal="center"/>
    </xf>
    <xf numFmtId="165" fontId="0" fillId="0" borderId="0" xfId="0" applyNumberFormat="1"/>
    <xf numFmtId="0" fontId="0" fillId="0" borderId="43" xfId="0" applyBorder="1"/>
    <xf numFmtId="0" fontId="12" fillId="0" borderId="41" xfId="0" applyFont="1" applyBorder="1" applyAlignment="1">
      <alignment horizontal="center"/>
    </xf>
    <xf numFmtId="0" fontId="12" fillId="0" borderId="42" xfId="0" applyFont="1" applyBorder="1" applyAlignment="1">
      <alignment horizontal="center"/>
    </xf>
    <xf numFmtId="0" fontId="0" fillId="2" borderId="43" xfId="0" applyFill="1" applyBorder="1" applyAlignment="1">
      <alignment horizontal="center"/>
    </xf>
    <xf numFmtId="11" fontId="11" fillId="0" borderId="0" xfId="0" applyNumberFormat="1" applyFont="1" applyBorder="1"/>
    <xf numFmtId="0" fontId="0" fillId="0" borderId="11" xfId="0" applyBorder="1"/>
    <xf numFmtId="0" fontId="0" fillId="0" borderId="48" xfId="0" applyBorder="1"/>
    <xf numFmtId="0" fontId="0" fillId="0" borderId="12" xfId="0" applyBorder="1"/>
    <xf numFmtId="0" fontId="1" fillId="0" borderId="52" xfId="0" applyFont="1" applyBorder="1" applyAlignment="1">
      <alignment horizontal="right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4" fillId="0" borderId="46" xfId="0" applyFont="1" applyBorder="1" applyAlignment="1">
      <alignment horizontal="center"/>
    </xf>
    <xf numFmtId="0" fontId="1" fillId="0" borderId="46" xfId="0" applyFont="1" applyFill="1" applyBorder="1" applyAlignment="1">
      <alignment horizontal="center"/>
    </xf>
    <xf numFmtId="11" fontId="10" fillId="0" borderId="1" xfId="0" applyNumberFormat="1" applyFont="1" applyBorder="1" applyAlignment="1">
      <alignment horizontal="center"/>
    </xf>
    <xf numFmtId="11" fontId="10" fillId="0" borderId="0" xfId="0" applyNumberFormat="1" applyFont="1" applyBorder="1" applyAlignment="1">
      <alignment horizontal="center"/>
    </xf>
    <xf numFmtId="165" fontId="10" fillId="0" borderId="0" xfId="0" applyNumberFormat="1" applyFont="1" applyBorder="1" applyAlignment="1">
      <alignment horizontal="center"/>
    </xf>
    <xf numFmtId="11" fontId="10" fillId="0" borderId="9" xfId="0" applyNumberFormat="1" applyFont="1" applyBorder="1" applyAlignment="1">
      <alignment horizontal="center"/>
    </xf>
    <xf numFmtId="11" fontId="10" fillId="0" borderId="5" xfId="0" applyNumberFormat="1" applyFont="1" applyBorder="1" applyAlignment="1">
      <alignment horizontal="center"/>
    </xf>
    <xf numFmtId="165" fontId="10" fillId="0" borderId="5" xfId="0" applyNumberFormat="1" applyFont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2" fontId="0" fillId="2" borderId="2" xfId="0" applyNumberFormat="1" applyFill="1" applyBorder="1" applyAlignment="1">
      <alignment horizontal="center"/>
    </xf>
    <xf numFmtId="2" fontId="0" fillId="2" borderId="9" xfId="0" applyNumberFormat="1" applyFill="1" applyBorder="1" applyAlignment="1">
      <alignment horizontal="center"/>
    </xf>
    <xf numFmtId="2" fontId="0" fillId="2" borderId="51" xfId="0" applyNumberFormat="1" applyFill="1" applyBorder="1" applyAlignment="1">
      <alignment horizontal="center"/>
    </xf>
    <xf numFmtId="165" fontId="0" fillId="2" borderId="0" xfId="0" applyNumberFormat="1" applyFill="1" applyBorder="1" applyAlignment="1">
      <alignment horizontal="center"/>
    </xf>
    <xf numFmtId="165" fontId="0" fillId="2" borderId="5" xfId="0" applyNumberFormat="1" applyFill="1" applyBorder="1" applyAlignment="1">
      <alignment horizontal="center"/>
    </xf>
    <xf numFmtId="165" fontId="11" fillId="0" borderId="0" xfId="0" applyNumberFormat="1" applyFont="1" applyBorder="1" applyAlignment="1">
      <alignment horizontal="center"/>
    </xf>
    <xf numFmtId="0" fontId="11" fillId="0" borderId="53" xfId="0" applyFont="1" applyBorder="1"/>
    <xf numFmtId="0" fontId="12" fillId="0" borderId="54" xfId="0" applyFont="1" applyBorder="1" applyAlignment="1">
      <alignment horizontal="center"/>
    </xf>
    <xf numFmtId="0" fontId="0" fillId="0" borderId="41" xfId="0" applyBorder="1"/>
    <xf numFmtId="0" fontId="0" fillId="0" borderId="55" xfId="0" applyBorder="1" applyAlignment="1">
      <alignment horizontal="center"/>
    </xf>
    <xf numFmtId="0" fontId="0" fillId="0" borderId="55" xfId="0" applyBorder="1"/>
    <xf numFmtId="0" fontId="0" fillId="0" borderId="42" xfId="0" applyBorder="1"/>
    <xf numFmtId="0" fontId="0" fillId="0" borderId="56" xfId="0" applyBorder="1"/>
    <xf numFmtId="2" fontId="3" fillId="0" borderId="0" xfId="0" applyNumberFormat="1" applyFont="1" applyBorder="1"/>
    <xf numFmtId="165" fontId="11" fillId="0" borderId="0" xfId="0" applyNumberFormat="1" applyFont="1" applyBorder="1"/>
    <xf numFmtId="165" fontId="3" fillId="0" borderId="0" xfId="0" applyNumberFormat="1" applyFont="1" applyBorder="1"/>
    <xf numFmtId="2" fontId="3" fillId="0" borderId="58" xfId="0" applyNumberFormat="1" applyFont="1" applyBorder="1"/>
    <xf numFmtId="165" fontId="11" fillId="0" borderId="58" xfId="0" applyNumberFormat="1" applyFont="1" applyBorder="1"/>
    <xf numFmtId="165" fontId="3" fillId="0" borderId="58" xfId="0" applyNumberFormat="1" applyFont="1" applyBorder="1"/>
    <xf numFmtId="0" fontId="0" fillId="0" borderId="45" xfId="0" applyBorder="1" applyAlignment="1">
      <alignment horizontal="center"/>
    </xf>
    <xf numFmtId="0" fontId="1" fillId="0" borderId="45" xfId="0" applyFont="1" applyFill="1" applyBorder="1" applyAlignment="1">
      <alignment horizontal="center"/>
    </xf>
    <xf numFmtId="0" fontId="0" fillId="0" borderId="59" xfId="0" applyBorder="1"/>
    <xf numFmtId="0" fontId="0" fillId="0" borderId="60" xfId="0" applyBorder="1"/>
    <xf numFmtId="0" fontId="1" fillId="0" borderId="60" xfId="0" applyFont="1" applyBorder="1" applyAlignment="1">
      <alignment horizontal="center"/>
    </xf>
    <xf numFmtId="11" fontId="11" fillId="0" borderId="56" xfId="0" applyNumberFormat="1" applyFont="1" applyBorder="1" applyAlignment="1">
      <alignment horizontal="center"/>
    </xf>
    <xf numFmtId="11" fontId="11" fillId="0" borderId="57" xfId="0" applyNumberFormat="1" applyFont="1" applyBorder="1"/>
    <xf numFmtId="11" fontId="11" fillId="0" borderId="43" xfId="0" applyNumberFormat="1" applyFont="1" applyBorder="1" applyAlignment="1">
      <alignment horizontal="center"/>
    </xf>
    <xf numFmtId="165" fontId="11" fillId="0" borderId="58" xfId="0" applyNumberFormat="1" applyFont="1" applyBorder="1" applyAlignment="1">
      <alignment horizontal="center"/>
    </xf>
    <xf numFmtId="11" fontId="11" fillId="0" borderId="58" xfId="0" applyNumberFormat="1" applyFont="1" applyBorder="1"/>
    <xf numFmtId="11" fontId="11" fillId="0" borderId="44" xfId="0" applyNumberFormat="1" applyFont="1" applyBorder="1"/>
    <xf numFmtId="0" fontId="1" fillId="0" borderId="59" xfId="0" applyFont="1" applyFill="1" applyBorder="1" applyAlignment="1">
      <alignment horizontal="center"/>
    </xf>
    <xf numFmtId="0" fontId="1" fillId="0" borderId="60" xfId="0" applyFont="1" applyFill="1" applyBorder="1" applyAlignment="1">
      <alignment horizontal="center"/>
    </xf>
    <xf numFmtId="0" fontId="11" fillId="0" borderId="57" xfId="0" applyFont="1" applyBorder="1"/>
    <xf numFmtId="0" fontId="11" fillId="0" borderId="44" xfId="0" applyFont="1" applyBorder="1"/>
    <xf numFmtId="0" fontId="0" fillId="0" borderId="45" xfId="0" applyBorder="1"/>
    <xf numFmtId="0" fontId="6" fillId="3" borderId="0" xfId="0" applyFont="1" applyFill="1" applyBorder="1"/>
    <xf numFmtId="0" fontId="0" fillId="3" borderId="11" xfId="0" applyFill="1" applyBorder="1"/>
    <xf numFmtId="0" fontId="6" fillId="3" borderId="47" xfId="0" applyFont="1" applyFill="1" applyBorder="1"/>
    <xf numFmtId="0" fontId="6" fillId="3" borderId="6" xfId="0" applyFont="1" applyFill="1" applyBorder="1"/>
    <xf numFmtId="0" fontId="0" fillId="3" borderId="48" xfId="0" applyFill="1" applyBorder="1"/>
    <xf numFmtId="0" fontId="6" fillId="3" borderId="7" xfId="0" applyFont="1" applyFill="1" applyBorder="1"/>
    <xf numFmtId="0" fontId="0" fillId="3" borderId="12" xfId="0" applyFill="1" applyBorder="1"/>
    <xf numFmtId="0" fontId="0" fillId="3" borderId="5" xfId="0" applyFill="1" applyBorder="1"/>
    <xf numFmtId="0" fontId="0" fillId="3" borderId="10" xfId="0" applyFill="1" applyBorder="1"/>
    <xf numFmtId="0" fontId="1" fillId="0" borderId="0" xfId="0" applyFont="1" applyFill="1" applyBorder="1" applyAlignment="1">
      <alignment horizontal="center"/>
    </xf>
    <xf numFmtId="11" fontId="0" fillId="0" borderId="0" xfId="0" applyNumberFormat="1"/>
    <xf numFmtId="11" fontId="3" fillId="0" borderId="0" xfId="0" applyNumberFormat="1" applyFont="1" applyBorder="1" applyAlignment="1">
      <alignment horizontal="center"/>
    </xf>
    <xf numFmtId="11" fontId="3" fillId="0" borderId="5" xfId="0" applyNumberFormat="1" applyFont="1" applyBorder="1" applyAlignment="1">
      <alignment horizontal="center"/>
    </xf>
    <xf numFmtId="2" fontId="3" fillId="0" borderId="7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55" xfId="0" applyFont="1" applyBorder="1"/>
    <xf numFmtId="0" fontId="4" fillId="0" borderId="55" xfId="0" applyFont="1" applyBorder="1" applyAlignment="1">
      <alignment horizontal="center"/>
    </xf>
    <xf numFmtId="0" fontId="1" fillId="3" borderId="45" xfId="0" applyFont="1" applyFill="1" applyBorder="1" applyAlignment="1">
      <alignment horizontal="center"/>
    </xf>
    <xf numFmtId="0" fontId="1" fillId="4" borderId="47" xfId="0" applyFont="1" applyFill="1" applyBorder="1" applyAlignment="1">
      <alignment horizontal="center"/>
    </xf>
    <xf numFmtId="0" fontId="1" fillId="4" borderId="45" xfId="0" applyFont="1" applyFill="1" applyBorder="1" applyAlignment="1">
      <alignment horizontal="center"/>
    </xf>
    <xf numFmtId="0" fontId="1" fillId="5" borderId="8" xfId="0" applyFont="1" applyFill="1" applyBorder="1" applyAlignment="1">
      <alignment horizontal="center"/>
    </xf>
    <xf numFmtId="0" fontId="1" fillId="0" borderId="55" xfId="0" applyFont="1" applyBorder="1" applyAlignment="1">
      <alignment horizontal="center"/>
    </xf>
    <xf numFmtId="0" fontId="1" fillId="5" borderId="45" xfId="0" applyFont="1" applyFill="1" applyBorder="1" applyAlignment="1">
      <alignment horizontal="center"/>
    </xf>
    <xf numFmtId="166" fontId="11" fillId="0" borderId="0" xfId="0" applyNumberFormat="1" applyFont="1" applyBorder="1"/>
    <xf numFmtId="0" fontId="0" fillId="2" borderId="44" xfId="0" applyFill="1" applyBorder="1"/>
    <xf numFmtId="166" fontId="11" fillId="0" borderId="58" xfId="0" applyNumberFormat="1" applyFont="1" applyBorder="1"/>
    <xf numFmtId="11" fontId="11" fillId="0" borderId="57" xfId="0" applyNumberFormat="1" applyFont="1" applyBorder="1" applyAlignment="1">
      <alignment horizontal="center"/>
    </xf>
    <xf numFmtId="11" fontId="11" fillId="0" borderId="44" xfId="0" applyNumberFormat="1" applyFont="1" applyBorder="1" applyAlignment="1">
      <alignment horizontal="center"/>
    </xf>
    <xf numFmtId="0" fontId="12" fillId="6" borderId="61" xfId="0" applyFont="1" applyFill="1" applyBorder="1" applyAlignment="1">
      <alignment horizontal="center"/>
    </xf>
    <xf numFmtId="0" fontId="12" fillId="6" borderId="62" xfId="0" applyFont="1" applyFill="1" applyBorder="1" applyAlignment="1">
      <alignment horizontal="center"/>
    </xf>
    <xf numFmtId="0" fontId="0" fillId="0" borderId="63" xfId="0" applyBorder="1"/>
    <xf numFmtId="0" fontId="0" fillId="2" borderId="64" xfId="0" applyFill="1" applyBorder="1"/>
    <xf numFmtId="11" fontId="3" fillId="0" borderId="16" xfId="0" applyNumberFormat="1" applyFont="1" applyBorder="1"/>
    <xf numFmtId="164" fontId="0" fillId="2" borderId="10" xfId="0" applyNumberFormat="1" applyFill="1" applyBorder="1"/>
    <xf numFmtId="164" fontId="0" fillId="2" borderId="6" xfId="0" applyNumberFormat="1" applyFill="1" applyBorder="1"/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47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Continuous variation plot </a:t>
            </a:r>
          </a:p>
        </c:rich>
      </c:tx>
      <c:layout>
        <c:manualLayout>
          <c:xMode val="edge"/>
          <c:yMode val="edge"/>
          <c:x val="0.24579155730533683"/>
          <c:y val="4.16666666666666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'Job''s Plot FLUO 250'!$D$59</c:f>
              <c:strCache>
                <c:ptCount val="1"/>
                <c:pt idx="0">
                  <c:v>experimental</c:v>
                </c:pt>
              </c:strCache>
            </c:strRef>
          </c:tx>
          <c:spPr>
            <a:ln w="12700" cap="rnd">
              <a:noFill/>
              <a:prstDash val="sysDash"/>
              <a:round/>
            </a:ln>
            <a:effectLst/>
          </c:spPr>
          <c:marker>
            <c:symbol val="circle"/>
            <c:size val="5"/>
            <c:spPr>
              <a:noFill/>
              <a:ln w="9525">
                <a:solidFill>
                  <a:srgbClr val="C00000"/>
                </a:solidFill>
              </a:ln>
              <a:effectLst/>
            </c:spPr>
          </c:marker>
          <c:xVal>
            <c:numRef>
              <c:f>'Job''s Plot FLUO 250'!$C$61:$C$71</c:f>
              <c:numCache>
                <c:formatCode>0.00</c:formatCode>
                <c:ptCount val="11"/>
                <c:pt idx="0">
                  <c:v>1</c:v>
                </c:pt>
                <c:pt idx="1">
                  <c:v>0.89992446505996859</c:v>
                </c:pt>
                <c:pt idx="2">
                  <c:v>0.79986572693139779</c:v>
                </c:pt>
                <c:pt idx="3">
                  <c:v>0.69982378138584345</c:v>
                </c:pt>
                <c:pt idx="4">
                  <c:v>0.59979862419628061</c:v>
                </c:pt>
                <c:pt idx="5">
                  <c:v>0.49979025113710307</c:v>
                </c:pt>
                <c:pt idx="6">
                  <c:v>0.39979865798412251</c:v>
                </c:pt>
                <c:pt idx="7">
                  <c:v>0.29982384051456795</c:v>
                </c:pt>
                <c:pt idx="8">
                  <c:v>0.19986579450708541</c:v>
                </c:pt>
                <c:pt idx="9">
                  <c:v>9.9924515741736844E-2</c:v>
                </c:pt>
                <c:pt idx="10">
                  <c:v>0</c:v>
                </c:pt>
              </c:numCache>
            </c:numRef>
          </c:xVal>
          <c:yVal>
            <c:numRef>
              <c:f>'Job''s Plot FLUO 250'!$D$61:$D$71</c:f>
              <c:numCache>
                <c:formatCode>0.0000</c:formatCode>
                <c:ptCount val="11"/>
                <c:pt idx="0">
                  <c:v>0.96088039879999998</c:v>
                </c:pt>
                <c:pt idx="1">
                  <c:v>0.81718230250000001</c:v>
                </c:pt>
                <c:pt idx="2">
                  <c:v>0.66084969039999997</c:v>
                </c:pt>
                <c:pt idx="3">
                  <c:v>0.47609001400000001</c:v>
                </c:pt>
                <c:pt idx="4">
                  <c:v>0.29211571809999998</c:v>
                </c:pt>
                <c:pt idx="5">
                  <c:v>0.1407156587</c:v>
                </c:pt>
                <c:pt idx="6">
                  <c:v>0.1009055823</c:v>
                </c:pt>
                <c:pt idx="7">
                  <c:v>7.5075909499999996E-2</c:v>
                </c:pt>
                <c:pt idx="8">
                  <c:v>4.9798432740000002E-2</c:v>
                </c:pt>
                <c:pt idx="9">
                  <c:v>5.1454674450000001E-2</c:v>
                </c:pt>
                <c:pt idx="10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ED2-439D-BE83-52EA1EC4F065}"/>
            </c:ext>
          </c:extLst>
        </c:ser>
        <c:ser>
          <c:idx val="1"/>
          <c:order val="1"/>
          <c:tx>
            <c:strRef>
              <c:f>'Job''s Plot FLUO 250'!$E$59</c:f>
              <c:strCache>
                <c:ptCount val="1"/>
                <c:pt idx="0">
                  <c:v>forecasted</c:v>
                </c:pt>
              </c:strCache>
            </c:strRef>
          </c:tx>
          <c:spPr>
            <a:ln w="12700" cap="rnd">
              <a:solidFill>
                <a:schemeClr val="accent1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'Job''s Plot FLUO 250'!$C$61:$C$71</c:f>
              <c:numCache>
                <c:formatCode>0.00</c:formatCode>
                <c:ptCount val="11"/>
                <c:pt idx="0">
                  <c:v>1</c:v>
                </c:pt>
                <c:pt idx="1">
                  <c:v>0.89992446505996859</c:v>
                </c:pt>
                <c:pt idx="2">
                  <c:v>0.79986572693139779</c:v>
                </c:pt>
                <c:pt idx="3">
                  <c:v>0.69982378138584345</c:v>
                </c:pt>
                <c:pt idx="4">
                  <c:v>0.59979862419628061</c:v>
                </c:pt>
                <c:pt idx="5">
                  <c:v>0.49979025113710307</c:v>
                </c:pt>
                <c:pt idx="6">
                  <c:v>0.39979865798412251</c:v>
                </c:pt>
                <c:pt idx="7">
                  <c:v>0.29982384051456795</c:v>
                </c:pt>
                <c:pt idx="8">
                  <c:v>0.19986579450708541</c:v>
                </c:pt>
                <c:pt idx="9">
                  <c:v>9.9924515741736844E-2</c:v>
                </c:pt>
                <c:pt idx="10">
                  <c:v>0</c:v>
                </c:pt>
              </c:numCache>
            </c:numRef>
          </c:xVal>
          <c:yVal>
            <c:numRef>
              <c:f>'Job''s Plot FLUO 250'!$E$61:$E$71</c:f>
              <c:numCache>
                <c:formatCode>0.0000</c:formatCode>
                <c:ptCount val="11"/>
                <c:pt idx="0">
                  <c:v>0.96088039880000009</c:v>
                </c:pt>
                <c:pt idx="1">
                  <c:v>0.79655927272236415</c:v>
                </c:pt>
                <c:pt idx="2">
                  <c:v>0.63223843613039521</c:v>
                </c:pt>
                <c:pt idx="3">
                  <c:v>0.46791832369070885</c:v>
                </c:pt>
                <c:pt idx="4">
                  <c:v>0.30360111213719643</c:v>
                </c:pt>
                <c:pt idx="5">
                  <c:v>0.1405108340652004</c:v>
                </c:pt>
                <c:pt idx="6">
                  <c:v>0.11165389189743151</c:v>
                </c:pt>
                <c:pt idx="7">
                  <c:v>8.3737827356398606E-2</c:v>
                </c:pt>
                <c:pt idx="8">
                  <c:v>5.5824641479674079E-2</c:v>
                </c:pt>
                <c:pt idx="9">
                  <c:v>2.7912176471850989E-2</c:v>
                </c:pt>
                <c:pt idx="1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ED2-439D-BE83-52EA1EC4F0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15925656"/>
        <c:axId val="1015928936"/>
      </c:scatterChart>
      <c:valAx>
        <c:axId val="1015925656"/>
        <c:scaling>
          <c:orientation val="minMax"/>
          <c:max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>
                    <a:latin typeface="Symbol" panose="05050102010706020507" pitchFamily="18" charset="2"/>
                  </a:rPr>
                  <a:t>C</a:t>
                </a:r>
                <a:r>
                  <a:rPr lang="en-US" b="1" baseline="-25000"/>
                  <a:t>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015928936"/>
        <c:crosses val="autoZero"/>
        <c:crossBetween val="midCat"/>
        <c:majorUnit val="0.1"/>
      </c:valAx>
      <c:valAx>
        <c:axId val="1015928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ysDot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Fobs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0.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01592565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Classical Job's plot </a:t>
            </a:r>
          </a:p>
        </c:rich>
      </c:tx>
      <c:layout>
        <c:manualLayout>
          <c:xMode val="edge"/>
          <c:yMode val="edge"/>
          <c:x val="0.24579155730533683"/>
          <c:y val="4.16666666666666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'Job''s Plot FLUO 250'!$D$76</c:f>
              <c:strCache>
                <c:ptCount val="1"/>
                <c:pt idx="0">
                  <c:v>experimental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noFill/>
              <a:ln w="12700">
                <a:solidFill>
                  <a:srgbClr val="C00000"/>
                </a:solidFill>
              </a:ln>
              <a:effectLst/>
            </c:spPr>
          </c:marker>
          <c:xVal>
            <c:numRef>
              <c:f>'Job''s Plot FLUO 250'!$C$78:$C$88</c:f>
              <c:numCache>
                <c:formatCode>0.00</c:formatCode>
                <c:ptCount val="11"/>
                <c:pt idx="0">
                  <c:v>1</c:v>
                </c:pt>
                <c:pt idx="1">
                  <c:v>0.89992446505996859</c:v>
                </c:pt>
                <c:pt idx="2">
                  <c:v>0.79986572693139779</c:v>
                </c:pt>
                <c:pt idx="3">
                  <c:v>0.69982378138584345</c:v>
                </c:pt>
                <c:pt idx="4">
                  <c:v>0.59979862419628061</c:v>
                </c:pt>
                <c:pt idx="5">
                  <c:v>0.49979025113710307</c:v>
                </c:pt>
                <c:pt idx="6">
                  <c:v>0.39979865798412251</c:v>
                </c:pt>
                <c:pt idx="7">
                  <c:v>0.29982384051456795</c:v>
                </c:pt>
                <c:pt idx="8">
                  <c:v>0.19986579450708541</c:v>
                </c:pt>
                <c:pt idx="9">
                  <c:v>9.9924515741736844E-2</c:v>
                </c:pt>
                <c:pt idx="10">
                  <c:v>0</c:v>
                </c:pt>
              </c:numCache>
            </c:numRef>
          </c:xVal>
          <c:yVal>
            <c:numRef>
              <c:f>'Job''s Plot FLUO 250'!$D$78:$D$88</c:f>
              <c:numCache>
                <c:formatCode>0.0000</c:formatCode>
                <c:ptCount val="11"/>
                <c:pt idx="0">
                  <c:v>-1.1102230246251565E-16</c:v>
                </c:pt>
                <c:pt idx="1">
                  <c:v>-4.7610056420000157E-2</c:v>
                </c:pt>
                <c:pt idx="2">
                  <c:v>-0.10785462863999995</c:v>
                </c:pt>
                <c:pt idx="3">
                  <c:v>-0.19652626515999988</c:v>
                </c:pt>
                <c:pt idx="4">
                  <c:v>-0.28441252117999999</c:v>
                </c:pt>
                <c:pt idx="5">
                  <c:v>-0.33972454070000002</c:v>
                </c:pt>
                <c:pt idx="6">
                  <c:v>-0.28344657721999994</c:v>
                </c:pt>
                <c:pt idx="7">
                  <c:v>-0.21318821014</c:v>
                </c:pt>
                <c:pt idx="8">
                  <c:v>-0.14237764701999997</c:v>
                </c:pt>
                <c:pt idx="9">
                  <c:v>-4.4633365429999988E-2</c:v>
                </c:pt>
                <c:pt idx="10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6202-4E1A-830A-5D18E863D91B}"/>
            </c:ext>
          </c:extLst>
        </c:ser>
        <c:ser>
          <c:idx val="1"/>
          <c:order val="1"/>
          <c:tx>
            <c:strRef>
              <c:f>'Job''s Plot FLUO 250'!$E$76</c:f>
              <c:strCache>
                <c:ptCount val="1"/>
                <c:pt idx="0">
                  <c:v>forecasted</c:v>
                </c:pt>
              </c:strCache>
            </c:strRef>
          </c:tx>
          <c:spPr>
            <a:ln w="12700" cap="rnd">
              <a:solidFill>
                <a:srgbClr val="0070C0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'Job''s Plot FLUO 250'!$C$78:$C$88</c:f>
              <c:numCache>
                <c:formatCode>0.00</c:formatCode>
                <c:ptCount val="11"/>
                <c:pt idx="0">
                  <c:v>1</c:v>
                </c:pt>
                <c:pt idx="1">
                  <c:v>0.89992446505996859</c:v>
                </c:pt>
                <c:pt idx="2">
                  <c:v>0.79986572693139779</c:v>
                </c:pt>
                <c:pt idx="3">
                  <c:v>0.69982378138584345</c:v>
                </c:pt>
                <c:pt idx="4">
                  <c:v>0.59979862419628061</c:v>
                </c:pt>
                <c:pt idx="5">
                  <c:v>0.49979025113710307</c:v>
                </c:pt>
                <c:pt idx="6">
                  <c:v>0.39979865798412251</c:v>
                </c:pt>
                <c:pt idx="7">
                  <c:v>0.29982384051456795</c:v>
                </c:pt>
                <c:pt idx="8">
                  <c:v>0.19986579450708541</c:v>
                </c:pt>
                <c:pt idx="9">
                  <c:v>9.9924515741736844E-2</c:v>
                </c:pt>
                <c:pt idx="10">
                  <c:v>0</c:v>
                </c:pt>
              </c:numCache>
            </c:numRef>
          </c:xVal>
          <c:yVal>
            <c:numRef>
              <c:f>'Job''s Plot FLUO 250'!$E$78:$E$88</c:f>
              <c:numCache>
                <c:formatCode>0.0000E+00</c:formatCode>
                <c:ptCount val="11"/>
                <c:pt idx="0">
                  <c:v>0</c:v>
                </c:pt>
                <c:pt idx="1">
                  <c:v>-6.8233086197635962E-2</c:v>
                </c:pt>
                <c:pt idx="2">
                  <c:v>-0.13646588290960476</c:v>
                </c:pt>
                <c:pt idx="3">
                  <c:v>-0.20469795546929115</c:v>
                </c:pt>
                <c:pt idx="4">
                  <c:v>-0.27292712714280359</c:v>
                </c:pt>
                <c:pt idx="5">
                  <c:v>-0.33992936533479967</c:v>
                </c:pt>
                <c:pt idx="6">
                  <c:v>-0.27269826762256844</c:v>
                </c:pt>
                <c:pt idx="7">
                  <c:v>-0.20452629228360142</c:v>
                </c:pt>
                <c:pt idx="8">
                  <c:v>-0.13635143828032589</c:v>
                </c:pt>
                <c:pt idx="9">
                  <c:v>-6.8175863408149004E-2</c:v>
                </c:pt>
                <c:pt idx="1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202-4E1A-830A-5D18E863D9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15925656"/>
        <c:axId val="1015928936"/>
      </c:scatterChart>
      <c:valAx>
        <c:axId val="1015925656"/>
        <c:scaling>
          <c:orientation val="minMax"/>
          <c:max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>
                    <a:latin typeface="Symbol" panose="05050102010706020507" pitchFamily="18" charset="2"/>
                  </a:rPr>
                  <a:t>C</a:t>
                </a:r>
                <a:r>
                  <a:rPr lang="en-US" b="1" baseline="-25000"/>
                  <a:t>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015928936"/>
        <c:crosses val="autoZero"/>
        <c:crossBetween val="midCat"/>
        <c:majorUnit val="0.1"/>
      </c:valAx>
      <c:valAx>
        <c:axId val="1015928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ysDot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F</a:t>
                </a:r>
                <a:r>
                  <a:rPr lang="en-US" b="1" baseline="-25000"/>
                  <a:t>obs</a:t>
                </a:r>
                <a:r>
                  <a:rPr lang="en-US" b="1"/>
                  <a:t>-</a:t>
                </a:r>
                <a:r>
                  <a:rPr lang="en-US" b="1">
                    <a:latin typeface="Symbol" panose="05050102010706020507" pitchFamily="18" charset="2"/>
                  </a:rPr>
                  <a:t>f</a:t>
                </a:r>
                <a:r>
                  <a:rPr lang="en-US" b="1" baseline="-25000"/>
                  <a:t>h</a:t>
                </a:r>
                <a:r>
                  <a:rPr lang="en-US" b="1"/>
                  <a:t>[H]</a:t>
                </a:r>
                <a:r>
                  <a:rPr lang="en-US" b="1" baseline="-25000"/>
                  <a:t>0</a:t>
                </a:r>
                <a:r>
                  <a:rPr lang="en-US" b="1"/>
                  <a:t>-</a:t>
                </a:r>
                <a:r>
                  <a:rPr lang="en-US" b="1">
                    <a:latin typeface="Symbol" panose="05050102010706020507" pitchFamily="18" charset="2"/>
                  </a:rPr>
                  <a:t>f</a:t>
                </a:r>
                <a:r>
                  <a:rPr lang="en-US" b="1" baseline="-25000"/>
                  <a:t>g</a:t>
                </a:r>
                <a:r>
                  <a:rPr lang="en-US" b="1"/>
                  <a:t>[G]</a:t>
                </a:r>
                <a:r>
                  <a:rPr lang="en-US" b="1" baseline="-25000"/>
                  <a:t>0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0.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01592565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6481748073673164"/>
          <c:y val="0.44543623993563503"/>
          <c:w val="0.3194935382811136"/>
          <c:h val="0.1981145649199255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Continuous variation plot </a:t>
            </a:r>
          </a:p>
        </c:rich>
      </c:tx>
      <c:layout>
        <c:manualLayout>
          <c:xMode val="edge"/>
          <c:yMode val="edge"/>
          <c:x val="0.24579155730533683"/>
          <c:y val="4.16666666666666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'Job''s Plot ABS'!$D$59</c:f>
              <c:strCache>
                <c:ptCount val="1"/>
                <c:pt idx="0">
                  <c:v>experimental</c:v>
                </c:pt>
              </c:strCache>
            </c:strRef>
          </c:tx>
          <c:spPr>
            <a:ln w="12700" cap="rnd">
              <a:noFill/>
              <a:prstDash val="sysDash"/>
              <a:round/>
            </a:ln>
            <a:effectLst/>
          </c:spPr>
          <c:marker>
            <c:symbol val="circle"/>
            <c:size val="5"/>
            <c:spPr>
              <a:noFill/>
              <a:ln w="9525">
                <a:solidFill>
                  <a:srgbClr val="C00000"/>
                </a:solidFill>
              </a:ln>
              <a:effectLst/>
            </c:spPr>
          </c:marker>
          <c:xVal>
            <c:numRef>
              <c:f>'Job''s Plot ABS'!$C$61:$C$71</c:f>
              <c:numCache>
                <c:formatCode>0.00</c:formatCode>
                <c:ptCount val="11"/>
                <c:pt idx="0">
                  <c:v>1</c:v>
                </c:pt>
                <c:pt idx="1">
                  <c:v>0.89992446505996859</c:v>
                </c:pt>
                <c:pt idx="2">
                  <c:v>0.79986572693139779</c:v>
                </c:pt>
                <c:pt idx="3">
                  <c:v>0.69982378138584345</c:v>
                </c:pt>
                <c:pt idx="4">
                  <c:v>0.59979862419628061</c:v>
                </c:pt>
                <c:pt idx="5">
                  <c:v>0.49979025113710307</c:v>
                </c:pt>
                <c:pt idx="6">
                  <c:v>0.39979865798412251</c:v>
                </c:pt>
                <c:pt idx="7">
                  <c:v>0.29982384051456795</c:v>
                </c:pt>
                <c:pt idx="8">
                  <c:v>0.19986579450708541</c:v>
                </c:pt>
                <c:pt idx="9">
                  <c:v>9.9924515741736844E-2</c:v>
                </c:pt>
                <c:pt idx="10">
                  <c:v>0</c:v>
                </c:pt>
              </c:numCache>
            </c:numRef>
          </c:xVal>
          <c:yVal>
            <c:numRef>
              <c:f>'Job''s Plot ABS'!$D$61:$D$71</c:f>
              <c:numCache>
                <c:formatCode>0.0000</c:formatCode>
                <c:ptCount val="11"/>
                <c:pt idx="0">
                  <c:v>0.96088039879999998</c:v>
                </c:pt>
                <c:pt idx="1">
                  <c:v>0.81718230250000001</c:v>
                </c:pt>
                <c:pt idx="2">
                  <c:v>0.66084969039999997</c:v>
                </c:pt>
                <c:pt idx="3">
                  <c:v>0.47609001400000001</c:v>
                </c:pt>
                <c:pt idx="4">
                  <c:v>0.29211571809999998</c:v>
                </c:pt>
                <c:pt idx="5">
                  <c:v>0.1407156587</c:v>
                </c:pt>
                <c:pt idx="6">
                  <c:v>0.1009055823</c:v>
                </c:pt>
                <c:pt idx="7">
                  <c:v>7.5075909499999996E-2</c:v>
                </c:pt>
                <c:pt idx="8">
                  <c:v>4.9798432740000002E-2</c:v>
                </c:pt>
                <c:pt idx="9">
                  <c:v>5.1454674450000001E-2</c:v>
                </c:pt>
                <c:pt idx="10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2161-4A10-8661-343F3ABC5EE5}"/>
            </c:ext>
          </c:extLst>
        </c:ser>
        <c:ser>
          <c:idx val="1"/>
          <c:order val="1"/>
          <c:tx>
            <c:strRef>
              <c:f>'Job''s Plot ABS'!$E$59</c:f>
              <c:strCache>
                <c:ptCount val="1"/>
                <c:pt idx="0">
                  <c:v>forecasted</c:v>
                </c:pt>
              </c:strCache>
            </c:strRef>
          </c:tx>
          <c:spPr>
            <a:ln w="12700" cap="rnd">
              <a:solidFill>
                <a:schemeClr val="accent1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'Job''s Plot ABS'!$C$61:$C$71</c:f>
              <c:numCache>
                <c:formatCode>0.00</c:formatCode>
                <c:ptCount val="11"/>
                <c:pt idx="0">
                  <c:v>1</c:v>
                </c:pt>
                <c:pt idx="1">
                  <c:v>0.89992446505996859</c:v>
                </c:pt>
                <c:pt idx="2">
                  <c:v>0.79986572693139779</c:v>
                </c:pt>
                <c:pt idx="3">
                  <c:v>0.69982378138584345</c:v>
                </c:pt>
                <c:pt idx="4">
                  <c:v>0.59979862419628061</c:v>
                </c:pt>
                <c:pt idx="5">
                  <c:v>0.49979025113710307</c:v>
                </c:pt>
                <c:pt idx="6">
                  <c:v>0.39979865798412251</c:v>
                </c:pt>
                <c:pt idx="7">
                  <c:v>0.29982384051456795</c:v>
                </c:pt>
                <c:pt idx="8">
                  <c:v>0.19986579450708541</c:v>
                </c:pt>
                <c:pt idx="9">
                  <c:v>9.9924515741736844E-2</c:v>
                </c:pt>
                <c:pt idx="10">
                  <c:v>0</c:v>
                </c:pt>
              </c:numCache>
            </c:numRef>
          </c:xVal>
          <c:yVal>
            <c:numRef>
              <c:f>'Job''s Plot ABS'!$E$61:$E$71</c:f>
              <c:numCache>
                <c:formatCode>0.0000</c:formatCode>
                <c:ptCount val="11"/>
                <c:pt idx="0">
                  <c:v>0.96088039880000009</c:v>
                </c:pt>
                <c:pt idx="1">
                  <c:v>0.79655926164096902</c:v>
                </c:pt>
                <c:pt idx="2">
                  <c:v>0.63223841410553561</c:v>
                </c:pt>
                <c:pt idx="3">
                  <c:v>0.46791829106741223</c:v>
                </c:pt>
                <c:pt idx="4">
                  <c:v>0.30360107029747241</c:v>
                </c:pt>
                <c:pt idx="5">
                  <c:v>0.14051103376759452</c:v>
                </c:pt>
                <c:pt idx="6">
                  <c:v>0.11165385007894313</c:v>
                </c:pt>
                <c:pt idx="7">
                  <c:v>8.3737794757863221E-2</c:v>
                </c:pt>
                <c:pt idx="8">
                  <c:v>5.5824619472515616E-2</c:v>
                </c:pt>
                <c:pt idx="9">
                  <c:v>2.7912165399532628E-2</c:v>
                </c:pt>
                <c:pt idx="1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161-4A10-8661-343F3ABC5E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15925656"/>
        <c:axId val="1015928936"/>
      </c:scatterChart>
      <c:valAx>
        <c:axId val="1015925656"/>
        <c:scaling>
          <c:orientation val="minMax"/>
          <c:max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>
                    <a:latin typeface="Symbol" panose="05050102010706020507" pitchFamily="18" charset="2"/>
                  </a:rPr>
                  <a:t>C</a:t>
                </a:r>
                <a:r>
                  <a:rPr lang="en-US" b="1" baseline="-25000"/>
                  <a:t>H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015928936"/>
        <c:crosses val="autoZero"/>
        <c:crossBetween val="midCat"/>
        <c:majorUnit val="0.1"/>
      </c:valAx>
      <c:valAx>
        <c:axId val="1015928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ysDot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Aobs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0.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01592565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Classical Job's plot </a:t>
            </a:r>
          </a:p>
        </c:rich>
      </c:tx>
      <c:layout>
        <c:manualLayout>
          <c:xMode val="edge"/>
          <c:yMode val="edge"/>
          <c:x val="0.24579155730533683"/>
          <c:y val="4.16666666666666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'Job''s Plot ABS'!$D$76</c:f>
              <c:strCache>
                <c:ptCount val="1"/>
                <c:pt idx="0">
                  <c:v>experimental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noFill/>
              <a:ln w="12700">
                <a:solidFill>
                  <a:srgbClr val="C00000"/>
                </a:solidFill>
              </a:ln>
              <a:effectLst/>
            </c:spPr>
          </c:marker>
          <c:xVal>
            <c:numRef>
              <c:f>'Job''s Plot ABS'!$C$78:$C$88</c:f>
              <c:numCache>
                <c:formatCode>0.00</c:formatCode>
                <c:ptCount val="11"/>
                <c:pt idx="0">
                  <c:v>1</c:v>
                </c:pt>
                <c:pt idx="1">
                  <c:v>0.89992446505996859</c:v>
                </c:pt>
                <c:pt idx="2">
                  <c:v>0.79986572693139779</c:v>
                </c:pt>
                <c:pt idx="3">
                  <c:v>0.69982378138584345</c:v>
                </c:pt>
                <c:pt idx="4">
                  <c:v>0.59979862419628061</c:v>
                </c:pt>
                <c:pt idx="5">
                  <c:v>0.49979025113710307</c:v>
                </c:pt>
                <c:pt idx="6">
                  <c:v>0.39979865798412251</c:v>
                </c:pt>
                <c:pt idx="7">
                  <c:v>0.29982384051456795</c:v>
                </c:pt>
                <c:pt idx="8">
                  <c:v>0.19986579450708541</c:v>
                </c:pt>
                <c:pt idx="9">
                  <c:v>9.9924515741736844E-2</c:v>
                </c:pt>
                <c:pt idx="10">
                  <c:v>0</c:v>
                </c:pt>
              </c:numCache>
            </c:numRef>
          </c:xVal>
          <c:yVal>
            <c:numRef>
              <c:f>'Job''s Plot ABS'!$D$78:$D$88</c:f>
              <c:numCache>
                <c:formatCode>0.0000</c:formatCode>
                <c:ptCount val="11"/>
                <c:pt idx="0">
                  <c:v>-1.1102230246251565E-16</c:v>
                </c:pt>
                <c:pt idx="1">
                  <c:v>-4.7610056420000157E-2</c:v>
                </c:pt>
                <c:pt idx="2">
                  <c:v>-0.10785462863999995</c:v>
                </c:pt>
                <c:pt idx="3">
                  <c:v>-0.19652626515999988</c:v>
                </c:pt>
                <c:pt idx="4">
                  <c:v>-0.28441252117999999</c:v>
                </c:pt>
                <c:pt idx="5">
                  <c:v>-0.33972454070000002</c:v>
                </c:pt>
                <c:pt idx="6">
                  <c:v>-0.28344657721999994</c:v>
                </c:pt>
                <c:pt idx="7">
                  <c:v>-0.21318821014</c:v>
                </c:pt>
                <c:pt idx="8">
                  <c:v>-0.14237764701999997</c:v>
                </c:pt>
                <c:pt idx="9">
                  <c:v>-4.4633365429999988E-2</c:v>
                </c:pt>
                <c:pt idx="10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54ED-4DDC-B0E9-BFE47AA3B162}"/>
            </c:ext>
          </c:extLst>
        </c:ser>
        <c:ser>
          <c:idx val="1"/>
          <c:order val="1"/>
          <c:tx>
            <c:strRef>
              <c:f>'Job''s Plot ABS'!$E$76</c:f>
              <c:strCache>
                <c:ptCount val="1"/>
                <c:pt idx="0">
                  <c:v>forecasted</c:v>
                </c:pt>
              </c:strCache>
            </c:strRef>
          </c:tx>
          <c:spPr>
            <a:ln w="12700" cap="rnd">
              <a:solidFill>
                <a:srgbClr val="0070C0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'Job''s Plot ABS'!$C$78:$C$88</c:f>
              <c:numCache>
                <c:formatCode>0.00</c:formatCode>
                <c:ptCount val="11"/>
                <c:pt idx="0">
                  <c:v>1</c:v>
                </c:pt>
                <c:pt idx="1">
                  <c:v>0.89992446505996859</c:v>
                </c:pt>
                <c:pt idx="2">
                  <c:v>0.79986572693139779</c:v>
                </c:pt>
                <c:pt idx="3">
                  <c:v>0.69982378138584345</c:v>
                </c:pt>
                <c:pt idx="4">
                  <c:v>0.59979862419628061</c:v>
                </c:pt>
                <c:pt idx="5">
                  <c:v>0.49979025113710307</c:v>
                </c:pt>
                <c:pt idx="6">
                  <c:v>0.39979865798412251</c:v>
                </c:pt>
                <c:pt idx="7">
                  <c:v>0.29982384051456795</c:v>
                </c:pt>
                <c:pt idx="8">
                  <c:v>0.19986579450708541</c:v>
                </c:pt>
                <c:pt idx="9">
                  <c:v>9.9924515741736844E-2</c:v>
                </c:pt>
                <c:pt idx="10">
                  <c:v>0</c:v>
                </c:pt>
              </c:numCache>
            </c:numRef>
          </c:xVal>
          <c:yVal>
            <c:numRef>
              <c:f>'Job''s Plot ABS'!$E$78:$E$88</c:f>
              <c:numCache>
                <c:formatCode>0.0000E+00</c:formatCode>
                <c:ptCount val="11"/>
                <c:pt idx="0">
                  <c:v>0</c:v>
                </c:pt>
                <c:pt idx="1">
                  <c:v>-6.823309727903111E-2</c:v>
                </c:pt>
                <c:pt idx="2">
                  <c:v>-0.13646590493446423</c:v>
                </c:pt>
                <c:pt idx="3">
                  <c:v>-0.20469798809258766</c:v>
                </c:pt>
                <c:pt idx="4">
                  <c:v>-0.27292716898252761</c:v>
                </c:pt>
                <c:pt idx="5">
                  <c:v>-0.33992916563240549</c:v>
                </c:pt>
                <c:pt idx="6">
                  <c:v>-0.27269830944105683</c:v>
                </c:pt>
                <c:pt idx="7">
                  <c:v>-0.20452632488213676</c:v>
                </c:pt>
                <c:pt idx="8">
                  <c:v>-0.13635146028748435</c:v>
                </c:pt>
                <c:pt idx="9">
                  <c:v>-6.8175874480467358E-2</c:v>
                </c:pt>
                <c:pt idx="1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4ED-4DDC-B0E9-BFE47AA3B1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15925656"/>
        <c:axId val="1015928936"/>
      </c:scatterChart>
      <c:valAx>
        <c:axId val="1015925656"/>
        <c:scaling>
          <c:orientation val="minMax"/>
          <c:max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>
                    <a:latin typeface="Symbol" panose="05050102010706020507" pitchFamily="18" charset="2"/>
                  </a:rPr>
                  <a:t>C</a:t>
                </a:r>
                <a:r>
                  <a:rPr lang="en-US" b="1" baseline="-25000"/>
                  <a:t>H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015928936"/>
        <c:crosses val="autoZero"/>
        <c:crossBetween val="midCat"/>
        <c:majorUnit val="0.1"/>
      </c:valAx>
      <c:valAx>
        <c:axId val="1015928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ysDot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A</a:t>
                </a:r>
                <a:r>
                  <a:rPr lang="en-US" b="1" baseline="-25000"/>
                  <a:t>obs</a:t>
                </a:r>
                <a:r>
                  <a:rPr lang="en-US" b="1"/>
                  <a:t>-</a:t>
                </a:r>
                <a:r>
                  <a:rPr lang="en-US" b="1">
                    <a:latin typeface="Symbol" panose="05050102010706020507" pitchFamily="18" charset="2"/>
                  </a:rPr>
                  <a:t>e</a:t>
                </a:r>
                <a:r>
                  <a:rPr lang="en-US" b="1" baseline="-25000"/>
                  <a:t>h</a:t>
                </a:r>
                <a:r>
                  <a:rPr lang="en-US" b="1"/>
                  <a:t>[H]</a:t>
                </a:r>
                <a:r>
                  <a:rPr lang="en-US" b="1" baseline="-25000"/>
                  <a:t>0</a:t>
                </a:r>
                <a:r>
                  <a:rPr lang="en-US" b="1"/>
                  <a:t>-</a:t>
                </a:r>
                <a:r>
                  <a:rPr lang="en-US" b="1">
                    <a:latin typeface="Symbol" panose="05050102010706020507" pitchFamily="18" charset="2"/>
                  </a:rPr>
                  <a:t>e</a:t>
                </a:r>
                <a:r>
                  <a:rPr lang="en-US" b="1" baseline="-25000"/>
                  <a:t>g</a:t>
                </a:r>
                <a:r>
                  <a:rPr lang="en-US" b="1"/>
                  <a:t>[G]</a:t>
                </a:r>
                <a:r>
                  <a:rPr lang="en-US" b="1" baseline="-25000"/>
                  <a:t>0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0.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01592565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6481748073673164"/>
          <c:y val="0.44543623993563503"/>
          <c:w val="0.3194935382811136"/>
          <c:h val="0.1981145649199255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trlProps/ctrlProp1.xml><?xml version="1.0" encoding="utf-8"?>
<formControlPr xmlns="http://schemas.microsoft.com/office/spreadsheetml/2009/9/main" objectType="Button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/>
</file>

<file path=xl/ctrlProps/ctrlProp4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3.png"/><Relationship Id="rId4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5" Type="http://schemas.openxmlformats.org/officeDocument/2006/relationships/image" Target="../media/image4.png"/><Relationship Id="rId4" Type="http://schemas.openxmlformats.org/officeDocument/2006/relationships/image" Target="../media/image2.pn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6.emf"/><Relationship Id="rId1" Type="http://schemas.openxmlformats.org/officeDocument/2006/relationships/image" Target="../media/image5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57150</xdr:colOff>
      <xdr:row>15</xdr:row>
      <xdr:rowOff>180975</xdr:rowOff>
    </xdr:from>
    <xdr:to>
      <xdr:col>4</xdr:col>
      <xdr:colOff>0</xdr:colOff>
      <xdr:row>17</xdr:row>
      <xdr:rowOff>9525</xdr:rowOff>
    </xdr:to>
    <xdr:sp macro="" textlink="">
      <xdr:nvSpPr>
        <xdr:cNvPr id="2" name="Flecha derecha 1"/>
        <xdr:cNvSpPr/>
      </xdr:nvSpPr>
      <xdr:spPr>
        <a:xfrm>
          <a:off x="3581400" y="3114675"/>
          <a:ext cx="1123950" cy="219075"/>
        </a:xfrm>
        <a:prstGeom prst="rightArrow">
          <a:avLst/>
        </a:prstGeom>
        <a:solidFill>
          <a:srgbClr val="C00000"/>
        </a:solidFill>
        <a:ln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5</xdr:col>
      <xdr:colOff>47625</xdr:colOff>
      <xdr:row>15</xdr:row>
      <xdr:rowOff>180975</xdr:rowOff>
    </xdr:from>
    <xdr:to>
      <xdr:col>5</xdr:col>
      <xdr:colOff>752475</xdr:colOff>
      <xdr:row>17</xdr:row>
      <xdr:rowOff>9525</xdr:rowOff>
    </xdr:to>
    <xdr:sp macro="" textlink="">
      <xdr:nvSpPr>
        <xdr:cNvPr id="3" name="Flecha derecha 2"/>
        <xdr:cNvSpPr/>
      </xdr:nvSpPr>
      <xdr:spPr>
        <a:xfrm>
          <a:off x="5810250" y="3114675"/>
          <a:ext cx="704850" cy="219075"/>
        </a:xfrm>
        <a:prstGeom prst="rightArrow">
          <a:avLst/>
        </a:prstGeom>
        <a:solidFill>
          <a:srgbClr val="C00000"/>
        </a:solidFill>
        <a:ln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7</xdr:col>
      <xdr:colOff>22400</xdr:colOff>
      <xdr:row>58</xdr:row>
      <xdr:rowOff>140991</xdr:rowOff>
    </xdr:from>
    <xdr:to>
      <xdr:col>12</xdr:col>
      <xdr:colOff>221482</xdr:colOff>
      <xdr:row>72</xdr:row>
      <xdr:rowOff>131466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33913</xdr:colOff>
      <xdr:row>75</xdr:row>
      <xdr:rowOff>10467</xdr:rowOff>
    </xdr:from>
    <xdr:to>
      <xdr:col>12</xdr:col>
      <xdr:colOff>232995</xdr:colOff>
      <xdr:row>89</xdr:row>
      <xdr:rowOff>3035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104775</xdr:colOff>
          <xdr:row>87</xdr:row>
          <xdr:rowOff>76200</xdr:rowOff>
        </xdr:from>
        <xdr:to>
          <xdr:col>6</xdr:col>
          <xdr:colOff>828675</xdr:colOff>
          <xdr:row>90</xdr:row>
          <xdr:rowOff>95250</xdr:rowOff>
        </xdr:to>
        <xdr:sp macro="" textlink="">
          <xdr:nvSpPr>
            <xdr:cNvPr id="5121" name="Button 1" descr="Solver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400" b="0" i="0" u="none" strike="noStrike" baseline="0">
                  <a:solidFill>
                    <a:srgbClr val="008000"/>
                  </a:solidFill>
                  <a:latin typeface="Calibri"/>
                  <a:cs typeface="Calibri"/>
                </a:rPr>
                <a:t>Solver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104775</xdr:colOff>
          <xdr:row>70</xdr:row>
          <xdr:rowOff>66675</xdr:rowOff>
        </xdr:from>
        <xdr:to>
          <xdr:col>6</xdr:col>
          <xdr:colOff>790575</xdr:colOff>
          <xdr:row>73</xdr:row>
          <xdr:rowOff>104775</xdr:rowOff>
        </xdr:to>
        <xdr:sp macro="" textlink="">
          <xdr:nvSpPr>
            <xdr:cNvPr id="5122" name="Button 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400" b="0" i="0" u="none" strike="noStrike" baseline="0">
                  <a:solidFill>
                    <a:srgbClr val="339966"/>
                  </a:solidFill>
                  <a:latin typeface="Calibri"/>
                  <a:cs typeface="Calibri"/>
                </a:rPr>
                <a:t>Solver</a:t>
              </a:r>
            </a:p>
          </xdr:txBody>
        </xdr:sp>
        <xdr:clientData fPrintsWithSheet="0"/>
      </xdr:twoCellAnchor>
    </mc:Choice>
    <mc:Fallback/>
  </mc:AlternateContent>
  <xdr:twoCellAnchor>
    <xdr:from>
      <xdr:col>0</xdr:col>
      <xdr:colOff>251209</xdr:colOff>
      <xdr:row>44</xdr:row>
      <xdr:rowOff>136072</xdr:rowOff>
    </xdr:from>
    <xdr:to>
      <xdr:col>1</xdr:col>
      <xdr:colOff>1701103</xdr:colOff>
      <xdr:row>46</xdr:row>
      <xdr:rowOff>31401</xdr:rowOff>
    </xdr:to>
    <xdr:pic>
      <xdr:nvPicPr>
        <xdr:cNvPr id="8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1209" y="8880022"/>
          <a:ext cx="2211894" cy="371579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</xdr:spPr>
    </xdr:pic>
    <xdr:clientData/>
  </xdr:twoCellAnchor>
  <xdr:twoCellAnchor>
    <xdr:from>
      <xdr:col>12</xdr:col>
      <xdr:colOff>20933</xdr:colOff>
      <xdr:row>44</xdr:row>
      <xdr:rowOff>73269</xdr:rowOff>
    </xdr:from>
    <xdr:to>
      <xdr:col>13</xdr:col>
      <xdr:colOff>601959</xdr:colOff>
      <xdr:row>45</xdr:row>
      <xdr:rowOff>13502</xdr:rowOff>
    </xdr:to>
    <xdr:pic>
      <xdr:nvPicPr>
        <xdr:cNvPr id="9" name="Imagen 8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93908" y="8817219"/>
          <a:ext cx="1581151" cy="178358"/>
        </a:xfrm>
        <a:prstGeom prst="rect">
          <a:avLst/>
        </a:prstGeom>
        <a:solidFill>
          <a:srgbClr val="92D050"/>
        </a:solidFill>
      </xdr:spPr>
    </xdr:pic>
    <xdr:clientData/>
  </xdr:twoCellAnchor>
  <xdr:twoCellAnchor>
    <xdr:from>
      <xdr:col>3</xdr:col>
      <xdr:colOff>10467</xdr:colOff>
      <xdr:row>7</xdr:row>
      <xdr:rowOff>177939</xdr:rowOff>
    </xdr:from>
    <xdr:to>
      <xdr:col>3</xdr:col>
      <xdr:colOff>1136092</xdr:colOff>
      <xdr:row>8</xdr:row>
      <xdr:rowOff>194895</xdr:rowOff>
    </xdr:to>
    <xdr:sp macro="" textlink="">
      <xdr:nvSpPr>
        <xdr:cNvPr id="11" name="Flecha derecha 10"/>
        <xdr:cNvSpPr/>
      </xdr:nvSpPr>
      <xdr:spPr>
        <a:xfrm>
          <a:off x="3534717" y="1549539"/>
          <a:ext cx="1125625" cy="207456"/>
        </a:xfrm>
        <a:prstGeom prst="rightArrow">
          <a:avLst/>
        </a:prstGeom>
        <a:solidFill>
          <a:srgbClr val="0070C0"/>
        </a:solidFill>
        <a:ln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5</xdr:col>
      <xdr:colOff>126546</xdr:colOff>
      <xdr:row>8</xdr:row>
      <xdr:rowOff>10467</xdr:rowOff>
    </xdr:from>
    <xdr:to>
      <xdr:col>5</xdr:col>
      <xdr:colOff>831396</xdr:colOff>
      <xdr:row>9</xdr:row>
      <xdr:rowOff>16956</xdr:rowOff>
    </xdr:to>
    <xdr:sp macro="" textlink="">
      <xdr:nvSpPr>
        <xdr:cNvPr id="12" name="Flecha derecha 11"/>
        <xdr:cNvSpPr/>
      </xdr:nvSpPr>
      <xdr:spPr>
        <a:xfrm>
          <a:off x="5889171" y="1572567"/>
          <a:ext cx="704850" cy="206514"/>
        </a:xfrm>
        <a:prstGeom prst="rightArrow">
          <a:avLst/>
        </a:prstGeom>
        <a:solidFill>
          <a:srgbClr val="0070C0"/>
        </a:solidFill>
        <a:ln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2</xdr:col>
      <xdr:colOff>812131</xdr:colOff>
      <xdr:row>74</xdr:row>
      <xdr:rowOff>10025</xdr:rowOff>
    </xdr:from>
    <xdr:to>
      <xdr:col>5</xdr:col>
      <xdr:colOff>265697</xdr:colOff>
      <xdr:row>74</xdr:row>
      <xdr:rowOff>191000</xdr:rowOff>
    </xdr:to>
    <xdr:pic>
      <xdr:nvPicPr>
        <xdr:cNvPr id="15" name="Imagen 14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78868" y="14698578"/>
          <a:ext cx="2651961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57150</xdr:colOff>
      <xdr:row>15</xdr:row>
      <xdr:rowOff>180975</xdr:rowOff>
    </xdr:from>
    <xdr:to>
      <xdr:col>4</xdr:col>
      <xdr:colOff>0</xdr:colOff>
      <xdr:row>17</xdr:row>
      <xdr:rowOff>9525</xdr:rowOff>
    </xdr:to>
    <xdr:sp macro="" textlink="">
      <xdr:nvSpPr>
        <xdr:cNvPr id="2" name="Flecha derecha 1"/>
        <xdr:cNvSpPr/>
      </xdr:nvSpPr>
      <xdr:spPr>
        <a:xfrm>
          <a:off x="3581400" y="2914650"/>
          <a:ext cx="1123950" cy="219075"/>
        </a:xfrm>
        <a:prstGeom prst="rightArrow">
          <a:avLst/>
        </a:prstGeom>
        <a:solidFill>
          <a:srgbClr val="C00000"/>
        </a:solidFill>
        <a:ln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5</xdr:col>
      <xdr:colOff>47625</xdr:colOff>
      <xdr:row>15</xdr:row>
      <xdr:rowOff>180975</xdr:rowOff>
    </xdr:from>
    <xdr:to>
      <xdr:col>5</xdr:col>
      <xdr:colOff>752475</xdr:colOff>
      <xdr:row>17</xdr:row>
      <xdr:rowOff>9525</xdr:rowOff>
    </xdr:to>
    <xdr:sp macro="" textlink="">
      <xdr:nvSpPr>
        <xdr:cNvPr id="3" name="Flecha derecha 2"/>
        <xdr:cNvSpPr/>
      </xdr:nvSpPr>
      <xdr:spPr>
        <a:xfrm>
          <a:off x="5810250" y="2914650"/>
          <a:ext cx="704850" cy="219075"/>
        </a:xfrm>
        <a:prstGeom prst="rightArrow">
          <a:avLst/>
        </a:prstGeom>
        <a:solidFill>
          <a:srgbClr val="C00000"/>
        </a:solidFill>
        <a:ln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7</xdr:col>
      <xdr:colOff>22400</xdr:colOff>
      <xdr:row>58</xdr:row>
      <xdr:rowOff>140991</xdr:rowOff>
    </xdr:from>
    <xdr:to>
      <xdr:col>12</xdr:col>
      <xdr:colOff>221482</xdr:colOff>
      <xdr:row>72</xdr:row>
      <xdr:rowOff>131466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33913</xdr:colOff>
      <xdr:row>75</xdr:row>
      <xdr:rowOff>10467</xdr:rowOff>
    </xdr:from>
    <xdr:to>
      <xdr:col>12</xdr:col>
      <xdr:colOff>232995</xdr:colOff>
      <xdr:row>89</xdr:row>
      <xdr:rowOff>3035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104775</xdr:colOff>
          <xdr:row>87</xdr:row>
          <xdr:rowOff>76200</xdr:rowOff>
        </xdr:from>
        <xdr:to>
          <xdr:col>6</xdr:col>
          <xdr:colOff>828675</xdr:colOff>
          <xdr:row>90</xdr:row>
          <xdr:rowOff>95250</xdr:rowOff>
        </xdr:to>
        <xdr:sp macro="" textlink="">
          <xdr:nvSpPr>
            <xdr:cNvPr id="3073" name="Button 1" descr="Solver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400" b="0" i="0" u="none" strike="noStrike" baseline="0">
                  <a:solidFill>
                    <a:srgbClr val="008000"/>
                  </a:solidFill>
                  <a:latin typeface="Calibri"/>
                  <a:cs typeface="Calibri"/>
                </a:rPr>
                <a:t>Solver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104775</xdr:colOff>
          <xdr:row>70</xdr:row>
          <xdr:rowOff>66675</xdr:rowOff>
        </xdr:from>
        <xdr:to>
          <xdr:col>6</xdr:col>
          <xdr:colOff>790575</xdr:colOff>
          <xdr:row>73</xdr:row>
          <xdr:rowOff>104775</xdr:rowOff>
        </xdr:to>
        <xdr:sp macro="" textlink="">
          <xdr:nvSpPr>
            <xdr:cNvPr id="3074" name="Button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400" b="0" i="0" u="none" strike="noStrike" baseline="0">
                  <a:solidFill>
                    <a:srgbClr val="339966"/>
                  </a:solidFill>
                  <a:latin typeface="Calibri"/>
                  <a:cs typeface="Calibri"/>
                </a:rPr>
                <a:t>Solver</a:t>
              </a:r>
            </a:p>
          </xdr:txBody>
        </xdr:sp>
        <xdr:clientData fPrintsWithSheet="0"/>
      </xdr:twoCellAnchor>
    </mc:Choice>
    <mc:Fallback/>
  </mc:AlternateContent>
  <xdr:twoCellAnchor>
    <xdr:from>
      <xdr:col>0</xdr:col>
      <xdr:colOff>251209</xdr:colOff>
      <xdr:row>44</xdr:row>
      <xdr:rowOff>136072</xdr:rowOff>
    </xdr:from>
    <xdr:to>
      <xdr:col>1</xdr:col>
      <xdr:colOff>1701103</xdr:colOff>
      <xdr:row>46</xdr:row>
      <xdr:rowOff>31401</xdr:rowOff>
    </xdr:to>
    <xdr:pic>
      <xdr:nvPicPr>
        <xdr:cNvPr id="8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1209" y="8832397"/>
          <a:ext cx="2211894" cy="371579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</xdr:spPr>
    </xdr:pic>
    <xdr:clientData/>
  </xdr:twoCellAnchor>
  <xdr:twoCellAnchor>
    <xdr:from>
      <xdr:col>12</xdr:col>
      <xdr:colOff>20933</xdr:colOff>
      <xdr:row>44</xdr:row>
      <xdr:rowOff>73269</xdr:rowOff>
    </xdr:from>
    <xdr:to>
      <xdr:col>13</xdr:col>
      <xdr:colOff>601959</xdr:colOff>
      <xdr:row>45</xdr:row>
      <xdr:rowOff>13502</xdr:rowOff>
    </xdr:to>
    <xdr:pic>
      <xdr:nvPicPr>
        <xdr:cNvPr id="9" name="Imagen 8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93908" y="8769594"/>
          <a:ext cx="1581151" cy="178358"/>
        </a:xfrm>
        <a:prstGeom prst="rect">
          <a:avLst/>
        </a:prstGeom>
        <a:solidFill>
          <a:srgbClr val="92D050"/>
        </a:solidFill>
      </xdr:spPr>
    </xdr:pic>
    <xdr:clientData/>
  </xdr:twoCellAnchor>
  <xdr:twoCellAnchor>
    <xdr:from>
      <xdr:col>2</xdr:col>
      <xdr:colOff>219807</xdr:colOff>
      <xdr:row>73</xdr:row>
      <xdr:rowOff>167472</xdr:rowOff>
    </xdr:from>
    <xdr:to>
      <xdr:col>5</xdr:col>
      <xdr:colOff>312231</xdr:colOff>
      <xdr:row>74</xdr:row>
      <xdr:rowOff>160040</xdr:rowOff>
    </xdr:to>
    <xdr:pic>
      <xdr:nvPicPr>
        <xdr:cNvPr id="10" name="Imagen 9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2032" y="14597847"/>
          <a:ext cx="3292824" cy="1830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10467</xdr:colOff>
      <xdr:row>7</xdr:row>
      <xdr:rowOff>177939</xdr:rowOff>
    </xdr:from>
    <xdr:to>
      <xdr:col>3</xdr:col>
      <xdr:colOff>1136092</xdr:colOff>
      <xdr:row>8</xdr:row>
      <xdr:rowOff>194895</xdr:rowOff>
    </xdr:to>
    <xdr:sp macro="" textlink="">
      <xdr:nvSpPr>
        <xdr:cNvPr id="11" name="Flecha derecha 10"/>
        <xdr:cNvSpPr/>
      </xdr:nvSpPr>
      <xdr:spPr>
        <a:xfrm>
          <a:off x="3537857" y="1538653"/>
          <a:ext cx="1125625" cy="205363"/>
        </a:xfrm>
        <a:prstGeom prst="rightArrow">
          <a:avLst/>
        </a:prstGeom>
        <a:solidFill>
          <a:srgbClr val="0070C0"/>
        </a:solidFill>
        <a:ln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5</xdr:col>
      <xdr:colOff>126546</xdr:colOff>
      <xdr:row>8</xdr:row>
      <xdr:rowOff>10467</xdr:rowOff>
    </xdr:from>
    <xdr:to>
      <xdr:col>5</xdr:col>
      <xdr:colOff>831396</xdr:colOff>
      <xdr:row>9</xdr:row>
      <xdr:rowOff>16956</xdr:rowOff>
    </xdr:to>
    <xdr:sp macro="" textlink="">
      <xdr:nvSpPr>
        <xdr:cNvPr id="12" name="Flecha derecha 11"/>
        <xdr:cNvSpPr/>
      </xdr:nvSpPr>
      <xdr:spPr>
        <a:xfrm>
          <a:off x="5893881" y="1559588"/>
          <a:ext cx="704850" cy="205363"/>
        </a:xfrm>
        <a:prstGeom prst="rightArrow">
          <a:avLst/>
        </a:prstGeom>
        <a:solidFill>
          <a:srgbClr val="0070C0"/>
        </a:solidFill>
        <a:ln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</xdr:row>
          <xdr:rowOff>0</xdr:rowOff>
        </xdr:from>
        <xdr:to>
          <xdr:col>8</xdr:col>
          <xdr:colOff>57150</xdr:colOff>
          <xdr:row>47</xdr:row>
          <xdr:rowOff>171450</xdr:rowOff>
        </xdr:to>
        <xdr:sp macro="" textlink="">
          <xdr:nvSpPr>
            <xdr:cNvPr id="2078" name="Object 30" hidden="1">
              <a:extLst>
                <a:ext uri="{63B3BB69-23CF-44E3-9099-C40C66FF867C}">
                  <a14:compatExt spid="_x0000_s2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48</xdr:row>
          <xdr:rowOff>0</xdr:rowOff>
        </xdr:from>
        <xdr:to>
          <xdr:col>8</xdr:col>
          <xdr:colOff>57150</xdr:colOff>
          <xdr:row>73</xdr:row>
          <xdr:rowOff>104775</xdr:rowOff>
        </xdr:to>
        <xdr:sp macro="" textlink="">
          <xdr:nvSpPr>
            <xdr:cNvPr id="2079" name="Object 31" hidden="1">
              <a:extLst>
                <a:ext uri="{63B3BB69-23CF-44E3-9099-C40C66FF867C}">
                  <a14:compatExt spid="_x0000_s2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7" Type="http://schemas.openxmlformats.org/officeDocument/2006/relationships/image" Target="../media/image6.emf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package" Target="../embeddings/Documento_de_Microsoft_Word1.docx"/><Relationship Id="rId5" Type="http://schemas.openxmlformats.org/officeDocument/2006/relationships/image" Target="../media/image5.emf"/><Relationship Id="rId4" Type="http://schemas.openxmlformats.org/officeDocument/2006/relationships/package" Target="../embeddings/Documento_de_Microsoft_Word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5"/>
  <dimension ref="A1:N96"/>
  <sheetViews>
    <sheetView topLeftCell="A57" zoomScale="95" zoomScaleNormal="95" workbookViewId="0">
      <selection activeCell="F90" sqref="F90"/>
    </sheetView>
  </sheetViews>
  <sheetFormatPr baseColWidth="10" defaultRowHeight="15" x14ac:dyDescent="0.25"/>
  <cols>
    <col min="2" max="2" width="27" customWidth="1"/>
    <col min="3" max="3" width="14.42578125" customWidth="1"/>
    <col min="4" max="4" width="17.7109375" customWidth="1"/>
    <col min="5" max="5" width="15.85546875" customWidth="1"/>
    <col min="6" max="6" width="14" customWidth="1"/>
    <col min="7" max="7" width="15.28515625" customWidth="1"/>
    <col min="8" max="8" width="15" customWidth="1"/>
    <col min="9" max="9" width="12.140625" customWidth="1"/>
    <col min="10" max="10" width="14.42578125" customWidth="1"/>
    <col min="11" max="11" width="12.85546875" customWidth="1"/>
    <col min="12" max="12" width="15.42578125" customWidth="1"/>
    <col min="13" max="13" width="15" customWidth="1"/>
  </cols>
  <sheetData>
    <row r="1" spans="1:12" ht="15.75" thickBot="1" x14ac:dyDescent="0.3">
      <c r="A1" s="1" t="s">
        <v>0</v>
      </c>
    </row>
    <row r="2" spans="1:12" s="10" customFormat="1" x14ac:dyDescent="0.25">
      <c r="A2" s="10" t="s">
        <v>16</v>
      </c>
      <c r="H2" s="94" t="s">
        <v>39</v>
      </c>
      <c r="I2" s="95"/>
      <c r="J2" s="95"/>
      <c r="K2" s="95"/>
      <c r="L2" s="96"/>
    </row>
    <row r="3" spans="1:12" s="10" customFormat="1" x14ac:dyDescent="0.25">
      <c r="A3" s="10" t="s">
        <v>67</v>
      </c>
      <c r="H3" s="97" t="s">
        <v>40</v>
      </c>
      <c r="I3" s="93"/>
      <c r="J3" s="93"/>
      <c r="K3" s="93"/>
      <c r="L3" s="98"/>
    </row>
    <row r="4" spans="1:12" ht="15.75" thickBot="1" x14ac:dyDescent="0.3">
      <c r="B4" s="2"/>
      <c r="C4" s="2"/>
      <c r="H4" s="99" t="s">
        <v>64</v>
      </c>
      <c r="I4" s="100"/>
      <c r="J4" s="100"/>
      <c r="K4" s="100"/>
      <c r="L4" s="101"/>
    </row>
    <row r="5" spans="1:12" x14ac:dyDescent="0.25">
      <c r="A5" s="2"/>
      <c r="B5" s="5" t="s">
        <v>62</v>
      </c>
      <c r="C5" s="30" t="s">
        <v>4</v>
      </c>
      <c r="E5" s="130" t="str">
        <f>"stock solution "&amp;C5&amp;""</f>
        <v>stock solution FBI-G3</v>
      </c>
      <c r="F5" s="131"/>
    </row>
    <row r="6" spans="1:12" ht="15.75" thickBot="1" x14ac:dyDescent="0.3">
      <c r="A6" s="2"/>
      <c r="B6" s="3" t="s">
        <v>6</v>
      </c>
      <c r="C6" s="12">
        <v>0.60299999999999998</v>
      </c>
      <c r="E6" s="26">
        <f>C9*E9/G9</f>
        <v>4.9773830356258456E-5</v>
      </c>
      <c r="F6" s="29" t="s">
        <v>10</v>
      </c>
    </row>
    <row r="7" spans="1:12" ht="15.75" thickBot="1" x14ac:dyDescent="0.3">
      <c r="A7" s="2"/>
      <c r="B7" s="3" t="s">
        <v>2</v>
      </c>
      <c r="C7" s="12">
        <v>605.74</v>
      </c>
    </row>
    <row r="8" spans="1:12" x14ac:dyDescent="0.25">
      <c r="A8" s="2"/>
      <c r="B8" s="3" t="s">
        <v>3</v>
      </c>
      <c r="C8" s="12">
        <v>20</v>
      </c>
      <c r="E8" s="125" t="s">
        <v>8</v>
      </c>
      <c r="G8" s="125" t="s">
        <v>9</v>
      </c>
    </row>
    <row r="9" spans="1:12" ht="15.75" thickBot="1" x14ac:dyDescent="0.3">
      <c r="B9" s="4" t="s">
        <v>12</v>
      </c>
      <c r="C9" s="127">
        <f>(C6/C7)/C8</f>
        <v>4.9773830356258456E-5</v>
      </c>
      <c r="E9" s="126">
        <v>10</v>
      </c>
      <c r="G9" s="126">
        <v>10</v>
      </c>
    </row>
    <row r="11" spans="1:12" s="10" customFormat="1" ht="15.75" thickBot="1" x14ac:dyDescent="0.3">
      <c r="A11" s="10" t="s">
        <v>41</v>
      </c>
      <c r="E11"/>
    </row>
    <row r="12" spans="1:12" x14ac:dyDescent="0.25">
      <c r="B12" s="7" t="s">
        <v>63</v>
      </c>
      <c r="C12" s="31" t="s">
        <v>5</v>
      </c>
      <c r="E12" s="16" t="str">
        <f>"stock solution of "&amp;C12&amp;""</f>
        <v>stock solution of Ba(ClO4)2</v>
      </c>
      <c r="F12" s="17"/>
    </row>
    <row r="13" spans="1:12" ht="15.75" thickBot="1" x14ac:dyDescent="0.3">
      <c r="B13" s="6" t="s">
        <v>6</v>
      </c>
      <c r="C13" s="13">
        <v>3.35</v>
      </c>
      <c r="E13" s="27">
        <f>C17*E17/G17</f>
        <v>4.9815607899119677E-5</v>
      </c>
      <c r="F13" s="28" t="s">
        <v>10</v>
      </c>
    </row>
    <row r="14" spans="1:12" x14ac:dyDescent="0.25">
      <c r="B14" s="9" t="s">
        <v>11</v>
      </c>
      <c r="C14" s="13">
        <v>100</v>
      </c>
    </row>
    <row r="15" spans="1:12" ht="15.75" thickBot="1" x14ac:dyDescent="0.3">
      <c r="B15" s="6" t="s">
        <v>2</v>
      </c>
      <c r="C15" s="13">
        <v>336.24</v>
      </c>
    </row>
    <row r="16" spans="1:12" x14ac:dyDescent="0.25">
      <c r="A16" s="2"/>
      <c r="B16" s="6" t="s">
        <v>7</v>
      </c>
      <c r="C16" s="14">
        <v>20</v>
      </c>
      <c r="E16" s="8" t="s">
        <v>8</v>
      </c>
      <c r="G16" s="8" t="s">
        <v>9</v>
      </c>
    </row>
    <row r="17" spans="1:12" ht="15.75" thickBot="1" x14ac:dyDescent="0.3">
      <c r="B17" s="11" t="s">
        <v>12</v>
      </c>
      <c r="C17" s="25">
        <f>((C13*C14/100)/C15)/C16</f>
        <v>4.9815607899119675E-4</v>
      </c>
      <c r="E17" s="15">
        <v>10</v>
      </c>
      <c r="G17" s="15">
        <v>100</v>
      </c>
    </row>
    <row r="19" spans="1:12" ht="15.75" thickBot="1" x14ac:dyDescent="0.3">
      <c r="A19" t="str">
        <f xml:space="preserve"> "3. Input the amount (mL) of Host and Guest stock solutions mixed and the observed emission (Fobs) at "&amp;C21&amp;"nm. Pure Host ("&amp;C5&amp;") and Guest ("&amp;C12&amp;") are experiments 0 an 10, respectively"</f>
        <v>3. Input the amount (mL) of Host and Guest stock solutions mixed and the observed emission (Fobs) at 434nm. Pure Host (FBI-G3) and Guest (Ba(ClO4)2) are experiments 0 an 10, respectively</v>
      </c>
    </row>
    <row r="20" spans="1:12" ht="18" x14ac:dyDescent="0.35">
      <c r="B20" s="42" t="s">
        <v>68</v>
      </c>
      <c r="C20" s="129">
        <v>250</v>
      </c>
      <c r="D20" s="1"/>
    </row>
    <row r="21" spans="1:12" ht="18.75" thickBot="1" x14ac:dyDescent="0.4">
      <c r="B21" s="44" t="s">
        <v>13</v>
      </c>
      <c r="C21" s="128">
        <v>434</v>
      </c>
    </row>
    <row r="22" spans="1:12" ht="15.75" thickBot="1" x14ac:dyDescent="0.3"/>
    <row r="23" spans="1:12" ht="18" x14ac:dyDescent="0.35">
      <c r="B23" s="19"/>
      <c r="C23" s="20" t="s">
        <v>69</v>
      </c>
      <c r="D23" s="24" t="s">
        <v>65</v>
      </c>
    </row>
    <row r="24" spans="1:12" x14ac:dyDescent="0.25">
      <c r="B24" s="21" t="str">
        <f>"Host ("&amp;C5&amp;")"</f>
        <v>Host (FBI-G3)</v>
      </c>
      <c r="C24" s="32">
        <f>E31</f>
        <v>0.96088039879999998</v>
      </c>
      <c r="D24" s="33">
        <f>C24/E6</f>
        <v>19304.931766803053</v>
      </c>
    </row>
    <row r="25" spans="1:12" ht="15.75" thickBot="1" x14ac:dyDescent="0.3">
      <c r="B25" s="22" t="str">
        <f>"Guest ("&amp;C12&amp;")"</f>
        <v>Guest (Ba(ClO4)2)</v>
      </c>
      <c r="C25" s="34">
        <f>E41</f>
        <v>0</v>
      </c>
      <c r="D25" s="35">
        <f>C25/E13</f>
        <v>0</v>
      </c>
    </row>
    <row r="27" spans="1:12" x14ac:dyDescent="0.25">
      <c r="L27" s="2"/>
    </row>
    <row r="28" spans="1:12" ht="15.75" thickBot="1" x14ac:dyDescent="0.3">
      <c r="L28" s="2"/>
    </row>
    <row r="29" spans="1:12" ht="18" x14ac:dyDescent="0.35">
      <c r="B29" s="42"/>
      <c r="C29" s="132" t="s">
        <v>15</v>
      </c>
      <c r="D29" s="133"/>
      <c r="E29" s="113" t="s">
        <v>70</v>
      </c>
      <c r="F29" s="134" t="s">
        <v>56</v>
      </c>
      <c r="G29" s="135"/>
      <c r="H29" s="135"/>
      <c r="I29" s="135"/>
      <c r="J29" s="135"/>
      <c r="K29" s="108" t="s">
        <v>49</v>
      </c>
      <c r="L29" s="2"/>
    </row>
    <row r="30" spans="1:12" ht="18" x14ac:dyDescent="0.35">
      <c r="B30" s="45" t="s">
        <v>14</v>
      </c>
      <c r="C30" s="46" t="s">
        <v>17</v>
      </c>
      <c r="D30" s="47" t="s">
        <v>18</v>
      </c>
      <c r="E30" s="48" t="str">
        <f>""&amp;C21&amp;" nm"</f>
        <v>434 nm</v>
      </c>
      <c r="F30" s="46" t="s">
        <v>29</v>
      </c>
      <c r="G30" s="48" t="s">
        <v>30</v>
      </c>
      <c r="H30" s="49" t="s">
        <v>71</v>
      </c>
      <c r="I30" s="49" t="s">
        <v>72</v>
      </c>
      <c r="J30" s="50" t="s">
        <v>45</v>
      </c>
      <c r="K30" s="115" t="s">
        <v>50</v>
      </c>
      <c r="L30" s="2"/>
    </row>
    <row r="31" spans="1:12" x14ac:dyDescent="0.25">
      <c r="B31" s="43">
        <v>0</v>
      </c>
      <c r="C31" s="57">
        <v>3</v>
      </c>
      <c r="D31" s="58">
        <v>0</v>
      </c>
      <c r="E31" s="61">
        <v>0.96088039879999998</v>
      </c>
      <c r="F31" s="51">
        <f t="shared" ref="F31:F41" si="0">$E$6*C31/(C31+D31)</f>
        <v>4.9773830356258463E-5</v>
      </c>
      <c r="G31" s="52">
        <f t="shared" ref="G31:G41" si="1">$E$13*D31/(D31+C31)</f>
        <v>0</v>
      </c>
      <c r="H31" s="53">
        <f t="shared" ref="H31:H41" si="2">F31*$D$24</f>
        <v>0.96088039880000009</v>
      </c>
      <c r="I31" s="53">
        <f t="shared" ref="I31:I41" si="3">$D$25*G31</f>
        <v>0</v>
      </c>
      <c r="J31" s="104">
        <f t="shared" ref="J31:J41" si="4">F31+G31</f>
        <v>4.9773830356258463E-5</v>
      </c>
      <c r="K31" s="106">
        <f t="shared" ref="K31:K41" si="5">F31/J31</f>
        <v>1</v>
      </c>
      <c r="L31" s="2"/>
    </row>
    <row r="32" spans="1:12" x14ac:dyDescent="0.25">
      <c r="B32" s="43">
        <v>1</v>
      </c>
      <c r="C32" s="57">
        <v>2.7</v>
      </c>
      <c r="D32" s="58">
        <v>0.3</v>
      </c>
      <c r="E32" s="61">
        <v>0.81718230250000001</v>
      </c>
      <c r="F32" s="51">
        <f t="shared" si="0"/>
        <v>4.4796447320632618E-5</v>
      </c>
      <c r="G32" s="52">
        <f t="shared" si="1"/>
        <v>4.9815607899119672E-6</v>
      </c>
      <c r="H32" s="53">
        <f t="shared" si="2"/>
        <v>0.86479235892000017</v>
      </c>
      <c r="I32" s="53">
        <f t="shared" si="3"/>
        <v>0</v>
      </c>
      <c r="J32" s="104">
        <f t="shared" si="4"/>
        <v>4.9778008110544588E-5</v>
      </c>
      <c r="K32" s="106">
        <f t="shared" si="5"/>
        <v>0.89992446505996859</v>
      </c>
      <c r="L32" s="2"/>
    </row>
    <row r="33" spans="1:14" x14ac:dyDescent="0.25">
      <c r="B33" s="43">
        <v>2</v>
      </c>
      <c r="C33" s="57">
        <v>2.4</v>
      </c>
      <c r="D33" s="58">
        <v>0.6</v>
      </c>
      <c r="E33" s="61">
        <v>0.66084969039999997</v>
      </c>
      <c r="F33" s="51">
        <f t="shared" si="0"/>
        <v>3.9819064285006761E-5</v>
      </c>
      <c r="G33" s="52">
        <f t="shared" si="1"/>
        <v>9.9631215798239343E-6</v>
      </c>
      <c r="H33" s="53">
        <f t="shared" si="2"/>
        <v>0.76870431903999992</v>
      </c>
      <c r="I33" s="53">
        <f t="shared" si="3"/>
        <v>0</v>
      </c>
      <c r="J33" s="104">
        <f t="shared" si="4"/>
        <v>4.9782185864830693E-5</v>
      </c>
      <c r="K33" s="106">
        <f t="shared" si="5"/>
        <v>0.79986572693139779</v>
      </c>
      <c r="L33" s="2"/>
    </row>
    <row r="34" spans="1:14" x14ac:dyDescent="0.25">
      <c r="B34" s="43">
        <v>3</v>
      </c>
      <c r="C34" s="57">
        <v>2.1</v>
      </c>
      <c r="D34" s="58">
        <v>0.9</v>
      </c>
      <c r="E34" s="61">
        <v>0.47609001400000001</v>
      </c>
      <c r="F34" s="51">
        <f t="shared" si="0"/>
        <v>3.4841681249380916E-5</v>
      </c>
      <c r="G34" s="52">
        <f t="shared" si="1"/>
        <v>1.4944682369735902E-5</v>
      </c>
      <c r="H34" s="53">
        <f t="shared" si="2"/>
        <v>0.67261627915999989</v>
      </c>
      <c r="I34" s="53">
        <f t="shared" si="3"/>
        <v>0</v>
      </c>
      <c r="J34" s="104">
        <f t="shared" si="4"/>
        <v>4.9786363619116819E-5</v>
      </c>
      <c r="K34" s="106">
        <f t="shared" si="5"/>
        <v>0.69982378138584345</v>
      </c>
      <c r="L34" s="2"/>
    </row>
    <row r="35" spans="1:14" x14ac:dyDescent="0.25">
      <c r="B35" s="43">
        <v>4</v>
      </c>
      <c r="C35" s="57">
        <v>1.8</v>
      </c>
      <c r="D35" s="58">
        <v>1.2</v>
      </c>
      <c r="E35" s="61">
        <v>0.29211571809999998</v>
      </c>
      <c r="F35" s="51">
        <f t="shared" si="0"/>
        <v>2.9864298213755076E-5</v>
      </c>
      <c r="G35" s="52">
        <f t="shared" si="1"/>
        <v>1.9926243159647869E-5</v>
      </c>
      <c r="H35" s="53">
        <f t="shared" si="2"/>
        <v>0.57652823927999997</v>
      </c>
      <c r="I35" s="53">
        <f t="shared" si="3"/>
        <v>0</v>
      </c>
      <c r="J35" s="104">
        <f t="shared" si="4"/>
        <v>4.9790541373402944E-5</v>
      </c>
      <c r="K35" s="106">
        <f t="shared" si="5"/>
        <v>0.59979862419628061</v>
      </c>
      <c r="L35" s="2"/>
    </row>
    <row r="36" spans="1:14" x14ac:dyDescent="0.25">
      <c r="B36" s="43">
        <v>5</v>
      </c>
      <c r="C36" s="57">
        <v>1.5</v>
      </c>
      <c r="D36" s="58">
        <v>1.5</v>
      </c>
      <c r="E36" s="61">
        <v>0.1407156587</v>
      </c>
      <c r="F36" s="51">
        <f t="shared" si="0"/>
        <v>2.4886915178129231E-5</v>
      </c>
      <c r="G36" s="52">
        <f t="shared" si="1"/>
        <v>2.4907803949559838E-5</v>
      </c>
      <c r="H36" s="53">
        <f t="shared" si="2"/>
        <v>0.48044019940000005</v>
      </c>
      <c r="I36" s="53">
        <f t="shared" si="3"/>
        <v>0</v>
      </c>
      <c r="J36" s="104">
        <f t="shared" si="4"/>
        <v>4.979471912768907E-5</v>
      </c>
      <c r="K36" s="106">
        <f t="shared" si="5"/>
        <v>0.49979025113710307</v>
      </c>
      <c r="L36" s="2"/>
    </row>
    <row r="37" spans="1:14" x14ac:dyDescent="0.25">
      <c r="B37" s="43">
        <v>6</v>
      </c>
      <c r="C37" s="57">
        <v>1.2</v>
      </c>
      <c r="D37" s="58">
        <v>1.8</v>
      </c>
      <c r="E37" s="61">
        <v>0.1009055823</v>
      </c>
      <c r="F37" s="51">
        <f t="shared" si="0"/>
        <v>1.990953214250338E-5</v>
      </c>
      <c r="G37" s="52">
        <f t="shared" si="1"/>
        <v>2.9889364739471805E-5</v>
      </c>
      <c r="H37" s="53">
        <f t="shared" si="2"/>
        <v>0.38435215951999996</v>
      </c>
      <c r="I37" s="53">
        <f t="shared" si="3"/>
        <v>0</v>
      </c>
      <c r="J37" s="104">
        <f t="shared" si="4"/>
        <v>4.9798896881975182E-5</v>
      </c>
      <c r="K37" s="106">
        <f t="shared" si="5"/>
        <v>0.39979865798412251</v>
      </c>
      <c r="L37" s="2"/>
    </row>
    <row r="38" spans="1:14" x14ac:dyDescent="0.25">
      <c r="B38" s="43">
        <v>7</v>
      </c>
      <c r="C38" s="57">
        <v>0.9</v>
      </c>
      <c r="D38" s="58">
        <v>2.1</v>
      </c>
      <c r="E38" s="61">
        <v>7.5075909499999996E-2</v>
      </c>
      <c r="F38" s="51">
        <f t="shared" si="0"/>
        <v>1.4932149106877538E-5</v>
      </c>
      <c r="G38" s="52">
        <f t="shared" si="1"/>
        <v>3.4870925529383774E-5</v>
      </c>
      <c r="H38" s="53">
        <f t="shared" si="2"/>
        <v>0.28826411963999998</v>
      </c>
      <c r="I38" s="53">
        <f t="shared" si="3"/>
        <v>0</v>
      </c>
      <c r="J38" s="104">
        <f t="shared" si="4"/>
        <v>4.9803074636261314E-5</v>
      </c>
      <c r="K38" s="106">
        <f t="shared" si="5"/>
        <v>0.29982384051456795</v>
      </c>
      <c r="L38" s="2"/>
    </row>
    <row r="39" spans="1:14" x14ac:dyDescent="0.25">
      <c r="B39" s="43">
        <v>8</v>
      </c>
      <c r="C39" s="57">
        <v>0.6</v>
      </c>
      <c r="D39" s="58">
        <v>2.4</v>
      </c>
      <c r="E39" s="61">
        <v>4.9798432740000002E-2</v>
      </c>
      <c r="F39" s="51">
        <f t="shared" si="0"/>
        <v>9.9547660712516901E-6</v>
      </c>
      <c r="G39" s="52">
        <f t="shared" si="1"/>
        <v>3.9852486319295737E-5</v>
      </c>
      <c r="H39" s="53">
        <f t="shared" si="2"/>
        <v>0.19217607975999998</v>
      </c>
      <c r="I39" s="53">
        <f t="shared" si="3"/>
        <v>0</v>
      </c>
      <c r="J39" s="104">
        <f t="shared" si="4"/>
        <v>4.9807252390547426E-5</v>
      </c>
      <c r="K39" s="106">
        <f t="shared" si="5"/>
        <v>0.19986579450708541</v>
      </c>
      <c r="L39" s="2"/>
    </row>
    <row r="40" spans="1:14" x14ac:dyDescent="0.25">
      <c r="B40" s="43">
        <v>9</v>
      </c>
      <c r="C40" s="57">
        <v>0.3</v>
      </c>
      <c r="D40" s="58">
        <v>2.7</v>
      </c>
      <c r="E40" s="61">
        <v>5.1454674450000001E-2</v>
      </c>
      <c r="F40" s="51">
        <f t="shared" si="0"/>
        <v>4.9773830356258451E-6</v>
      </c>
      <c r="G40" s="52">
        <f t="shared" si="1"/>
        <v>4.4834047109207707E-5</v>
      </c>
      <c r="H40" s="53">
        <f t="shared" si="2"/>
        <v>9.608803987999999E-2</v>
      </c>
      <c r="I40" s="53">
        <f t="shared" si="3"/>
        <v>0</v>
      </c>
      <c r="J40" s="104">
        <f t="shared" si="4"/>
        <v>4.9811430144833551E-5</v>
      </c>
      <c r="K40" s="106">
        <f t="shared" si="5"/>
        <v>9.9924515741736844E-2</v>
      </c>
      <c r="L40" s="2"/>
    </row>
    <row r="41" spans="1:14" ht="15.75" thickBot="1" x14ac:dyDescent="0.3">
      <c r="B41" s="44">
        <v>10</v>
      </c>
      <c r="C41" s="59">
        <v>0</v>
      </c>
      <c r="D41" s="60">
        <v>3</v>
      </c>
      <c r="E41" s="62">
        <v>0</v>
      </c>
      <c r="F41" s="54">
        <f t="shared" si="0"/>
        <v>0</v>
      </c>
      <c r="G41" s="55">
        <f t="shared" si="1"/>
        <v>4.9815607899119677E-5</v>
      </c>
      <c r="H41" s="56">
        <f t="shared" si="2"/>
        <v>0</v>
      </c>
      <c r="I41" s="56">
        <f t="shared" si="3"/>
        <v>0</v>
      </c>
      <c r="J41" s="105">
        <f t="shared" si="4"/>
        <v>4.9815607899119677E-5</v>
      </c>
      <c r="K41" s="107">
        <f t="shared" si="5"/>
        <v>0</v>
      </c>
      <c r="L41" s="2"/>
    </row>
    <row r="42" spans="1:14" x14ac:dyDescent="0.25">
      <c r="L42" s="2"/>
    </row>
    <row r="43" spans="1:14" ht="15.75" thickBot="1" x14ac:dyDescent="0.3">
      <c r="A43" t="s">
        <v>25</v>
      </c>
    </row>
    <row r="44" spans="1:14" ht="18.75" thickBot="1" x14ac:dyDescent="0.4">
      <c r="C44" s="38" t="s">
        <v>19</v>
      </c>
      <c r="D44" s="39" t="s">
        <v>77</v>
      </c>
    </row>
    <row r="45" spans="1:14" ht="18.75" thickBot="1" x14ac:dyDescent="0.4">
      <c r="C45" s="40">
        <v>3949366112.1804543</v>
      </c>
      <c r="D45" s="119">
        <v>5607.7145677421768</v>
      </c>
      <c r="F45" s="109" t="s">
        <v>51</v>
      </c>
      <c r="G45" s="111" t="s">
        <v>52</v>
      </c>
      <c r="H45" s="68"/>
      <c r="I45" s="110" t="s">
        <v>53</v>
      </c>
      <c r="J45" s="111" t="s">
        <v>54</v>
      </c>
      <c r="K45" s="68"/>
      <c r="L45" s="69"/>
    </row>
    <row r="46" spans="1:14" ht="18.75" thickBot="1" x14ac:dyDescent="0.4">
      <c r="C46" s="123" t="s">
        <v>46</v>
      </c>
      <c r="D46" s="124" t="s">
        <v>44</v>
      </c>
      <c r="F46" s="88" t="s">
        <v>21</v>
      </c>
      <c r="G46" s="78" t="s">
        <v>22</v>
      </c>
      <c r="H46" s="112" t="s">
        <v>24</v>
      </c>
      <c r="I46" s="78" t="s">
        <v>34</v>
      </c>
      <c r="J46" s="78" t="s">
        <v>35</v>
      </c>
      <c r="K46" s="78" t="s">
        <v>33</v>
      </c>
      <c r="L46" s="89" t="s">
        <v>55</v>
      </c>
      <c r="M46" s="102" t="s">
        <v>58</v>
      </c>
      <c r="N46" s="102"/>
    </row>
    <row r="47" spans="1:14" x14ac:dyDescent="0.25">
      <c r="C47" s="82">
        <f t="shared" ref="C47:C57" si="6">$C$45*J31</f>
        <v>196575.07888242597</v>
      </c>
      <c r="D47" s="121">
        <f t="shared" ref="D47:D57" si="7">(C47+1-(SQRT(((C47+1)^2)-4*C47*C47*(K31-K31^2))))/(2*C47)</f>
        <v>0</v>
      </c>
      <c r="F47" s="82">
        <f t="shared" ref="F47:F57" si="8">D47*J31</f>
        <v>0</v>
      </c>
      <c r="G47" s="63">
        <f t="shared" ref="G47:G57" si="9">F47*$D$45</f>
        <v>0</v>
      </c>
      <c r="H47" s="63">
        <f t="shared" ref="H47:H57" si="10">G47+L47+K47</f>
        <v>0.96088039880000009</v>
      </c>
      <c r="I47" s="41">
        <f t="shared" ref="I47:I57" si="11">F31-F47</f>
        <v>4.9773830356258463E-5</v>
      </c>
      <c r="J47" s="41">
        <f t="shared" ref="J47:J57" si="12">G31-(D47*J31)</f>
        <v>0</v>
      </c>
      <c r="K47" s="41">
        <f t="shared" ref="K47:K57" si="13">I47*$D$24</f>
        <v>0.96088039880000009</v>
      </c>
      <c r="L47" s="83">
        <f t="shared" ref="L47:L57" si="14">$D$25*J47</f>
        <v>0</v>
      </c>
      <c r="M47" s="103">
        <f t="shared" ref="M47:M57" si="15">I47+J47+(F47*2)</f>
        <v>4.9773830356258463E-5</v>
      </c>
    </row>
    <row r="48" spans="1:14" x14ac:dyDescent="0.25">
      <c r="C48" s="82">
        <f t="shared" si="6"/>
        <v>196591.57836362859</v>
      </c>
      <c r="D48" s="121">
        <f t="shared" si="7"/>
        <v>0.10007489850813822</v>
      </c>
      <c r="F48" s="82">
        <f t="shared" si="8"/>
        <v>4.9815291096000306E-6</v>
      </c>
      <c r="G48" s="63">
        <f t="shared" si="9"/>
        <v>2.7934993357535805E-2</v>
      </c>
      <c r="H48" s="63">
        <f t="shared" si="10"/>
        <v>0.79655927272236415</v>
      </c>
      <c r="I48" s="41">
        <f t="shared" si="11"/>
        <v>3.9814918211032587E-5</v>
      </c>
      <c r="J48" s="41">
        <f t="shared" si="12"/>
        <v>3.1680311936546006E-11</v>
      </c>
      <c r="K48" s="41">
        <f t="shared" si="13"/>
        <v>0.76862427936482836</v>
      </c>
      <c r="L48" s="83">
        <f t="shared" si="14"/>
        <v>0</v>
      </c>
      <c r="M48" s="103">
        <f t="shared" si="15"/>
        <v>4.9778008110544588E-5</v>
      </c>
    </row>
    <row r="49" spans="1:13" x14ac:dyDescent="0.25">
      <c r="C49" s="82">
        <f t="shared" si="6"/>
        <v>196608.07784483116</v>
      </c>
      <c r="D49" s="121">
        <f t="shared" si="7"/>
        <v>0.20013257576953772</v>
      </c>
      <c r="F49" s="82">
        <f t="shared" si="8"/>
        <v>9.9630370845664385E-6</v>
      </c>
      <c r="G49" s="63">
        <f t="shared" si="9"/>
        <v>5.5869868198078765E-2</v>
      </c>
      <c r="H49" s="63">
        <f t="shared" si="10"/>
        <v>0.63223843613039521</v>
      </c>
      <c r="I49" s="41">
        <f t="shared" si="11"/>
        <v>2.9856027200440322E-5</v>
      </c>
      <c r="J49" s="41">
        <f t="shared" si="12"/>
        <v>8.4495257495883417E-11</v>
      </c>
      <c r="K49" s="41">
        <f t="shared" si="13"/>
        <v>0.57636856793231639</v>
      </c>
      <c r="L49" s="83">
        <f t="shared" si="14"/>
        <v>0</v>
      </c>
      <c r="M49" s="103">
        <f t="shared" si="15"/>
        <v>4.9782185864830693E-5</v>
      </c>
    </row>
    <row r="50" spans="1:13" x14ac:dyDescent="0.25">
      <c r="C50" s="82">
        <f t="shared" si="6"/>
        <v>196624.57732603379</v>
      </c>
      <c r="D50" s="121">
        <f t="shared" si="7"/>
        <v>0.30017239871732243</v>
      </c>
      <c r="F50" s="82">
        <f t="shared" si="8"/>
        <v>1.4944492190963129E-5</v>
      </c>
      <c r="G50" s="63">
        <f t="shared" si="9"/>
        <v>8.3804446566773147E-2</v>
      </c>
      <c r="H50" s="63">
        <f t="shared" si="10"/>
        <v>0.46791832369070885</v>
      </c>
      <c r="I50" s="41">
        <f t="shared" si="11"/>
        <v>1.9897189058417789E-5</v>
      </c>
      <c r="J50" s="41">
        <f t="shared" si="12"/>
        <v>1.9017877277289466E-10</v>
      </c>
      <c r="K50" s="41">
        <f t="shared" si="13"/>
        <v>0.38411387712393569</v>
      </c>
      <c r="L50" s="83">
        <f t="shared" si="14"/>
        <v>0</v>
      </c>
      <c r="M50" s="103">
        <f t="shared" si="15"/>
        <v>4.9786363619116819E-5</v>
      </c>
    </row>
    <row r="51" spans="1:13" x14ac:dyDescent="0.25">
      <c r="C51" s="82">
        <f t="shared" si="6"/>
        <v>196641.07680723644</v>
      </c>
      <c r="D51" s="121">
        <f t="shared" si="7"/>
        <v>0.40019118011575633</v>
      </c>
      <c r="F51" s="82">
        <f t="shared" si="8"/>
        <v>1.9925735510824514E-5</v>
      </c>
      <c r="G51" s="63">
        <f t="shared" si="9"/>
        <v>0.11173783729702823</v>
      </c>
      <c r="H51" s="63">
        <f t="shared" si="10"/>
        <v>0.30360111213719643</v>
      </c>
      <c r="I51" s="41">
        <f t="shared" si="11"/>
        <v>9.9385627029305619E-6</v>
      </c>
      <c r="J51" s="41">
        <f t="shared" si="12"/>
        <v>5.0764882335502855E-10</v>
      </c>
      <c r="K51" s="41">
        <f t="shared" si="13"/>
        <v>0.19186327484016821</v>
      </c>
      <c r="L51" s="83">
        <f t="shared" si="14"/>
        <v>0</v>
      </c>
      <c r="M51" s="103">
        <f t="shared" si="15"/>
        <v>4.9790541373402944E-5</v>
      </c>
    </row>
    <row r="52" spans="1:13" x14ac:dyDescent="0.25">
      <c r="C52" s="82">
        <f t="shared" si="6"/>
        <v>196657.57628843907</v>
      </c>
      <c r="D52" s="121">
        <f t="shared" si="7"/>
        <v>0.49839428521908891</v>
      </c>
      <c r="F52" s="82">
        <f t="shared" si="8"/>
        <v>2.4817403447329889E-5</v>
      </c>
      <c r="G52" s="63">
        <f t="shared" si="9"/>
        <v>0.13916891484512672</v>
      </c>
      <c r="H52" s="63">
        <f t="shared" si="10"/>
        <v>0.1405108340652004</v>
      </c>
      <c r="I52" s="41">
        <f t="shared" si="11"/>
        <v>6.9511730799342366E-8</v>
      </c>
      <c r="J52" s="41">
        <f t="shared" si="12"/>
        <v>9.040050222994947E-8</v>
      </c>
      <c r="K52" s="41">
        <f t="shared" si="13"/>
        <v>1.3419192200736865E-3</v>
      </c>
      <c r="L52" s="83">
        <f t="shared" si="14"/>
        <v>0</v>
      </c>
      <c r="M52" s="103">
        <f t="shared" si="15"/>
        <v>4.979471912768907E-5</v>
      </c>
    </row>
    <row r="53" spans="1:13" x14ac:dyDescent="0.25">
      <c r="C53" s="82">
        <f t="shared" si="6"/>
        <v>196674.07576964167</v>
      </c>
      <c r="D53" s="121">
        <f t="shared" si="7"/>
        <v>0.39978851518832287</v>
      </c>
      <c r="F53" s="82">
        <f t="shared" si="8"/>
        <v>1.9909027042461259E-5</v>
      </c>
      <c r="G53" s="63">
        <f t="shared" si="9"/>
        <v>0.11164414097558295</v>
      </c>
      <c r="H53" s="63">
        <f t="shared" si="10"/>
        <v>0.11165389189743151</v>
      </c>
      <c r="I53" s="41">
        <f t="shared" si="11"/>
        <v>5.051000421209457E-10</v>
      </c>
      <c r="J53" s="41">
        <f t="shared" si="12"/>
        <v>9.9803376970105454E-6</v>
      </c>
      <c r="K53" s="41">
        <f t="shared" si="13"/>
        <v>9.7509218485542041E-6</v>
      </c>
      <c r="L53" s="83">
        <f t="shared" si="14"/>
        <v>0</v>
      </c>
      <c r="M53" s="103">
        <f t="shared" si="15"/>
        <v>4.9798896881975182E-5</v>
      </c>
    </row>
    <row r="54" spans="1:13" x14ac:dyDescent="0.25">
      <c r="C54" s="82">
        <f t="shared" si="6"/>
        <v>196690.57525084433</v>
      </c>
      <c r="D54" s="121">
        <f t="shared" si="7"/>
        <v>0.29982003309604283</v>
      </c>
      <c r="F54" s="82">
        <f t="shared" si="8"/>
        <v>1.4931959485728558E-5</v>
      </c>
      <c r="G54" s="63">
        <f t="shared" si="9"/>
        <v>8.3734166733056017E-2</v>
      </c>
      <c r="H54" s="63">
        <f t="shared" si="10"/>
        <v>8.3737827356398606E-2</v>
      </c>
      <c r="I54" s="41">
        <f t="shared" si="11"/>
        <v>1.8962114897949525E-10</v>
      </c>
      <c r="J54" s="41">
        <f t="shared" si="12"/>
        <v>1.9938966043655218E-5</v>
      </c>
      <c r="K54" s="41">
        <f t="shared" si="13"/>
        <v>3.6606233425919523E-6</v>
      </c>
      <c r="L54" s="83">
        <f t="shared" si="14"/>
        <v>0</v>
      </c>
      <c r="M54" s="103">
        <f t="shared" si="15"/>
        <v>4.9803074636261314E-5</v>
      </c>
    </row>
    <row r="55" spans="1:13" x14ac:dyDescent="0.25">
      <c r="C55" s="82">
        <f t="shared" si="6"/>
        <v>196707.07473204692</v>
      </c>
      <c r="D55" s="121">
        <f t="shared" si="7"/>
        <v>0.19986410185343406</v>
      </c>
      <c r="F55" s="82">
        <f t="shared" si="8"/>
        <v>9.9546817648240674E-6</v>
      </c>
      <c r="G55" s="63">
        <f t="shared" si="9"/>
        <v>5.5823013949841321E-2</v>
      </c>
      <c r="H55" s="63">
        <f t="shared" si="10"/>
        <v>5.5824641479674079E-2</v>
      </c>
      <c r="I55" s="41">
        <f t="shared" si="11"/>
        <v>8.4306427622718189E-11</v>
      </c>
      <c r="J55" s="41">
        <f t="shared" si="12"/>
        <v>2.9897804554471672E-5</v>
      </c>
      <c r="K55" s="41">
        <f t="shared" si="13"/>
        <v>1.6275298327594947E-6</v>
      </c>
      <c r="L55" s="83">
        <f t="shared" si="14"/>
        <v>0</v>
      </c>
      <c r="M55" s="103">
        <f t="shared" si="15"/>
        <v>4.9807252390547433E-5</v>
      </c>
    </row>
    <row r="56" spans="1:13" x14ac:dyDescent="0.25">
      <c r="C56" s="82">
        <f t="shared" si="6"/>
        <v>196723.57421324955</v>
      </c>
      <c r="D56" s="121">
        <f t="shared" si="7"/>
        <v>9.9923880936344731E-2</v>
      </c>
      <c r="F56" s="82">
        <f t="shared" si="8"/>
        <v>4.9773514150614002E-6</v>
      </c>
      <c r="G56" s="63">
        <f t="shared" si="9"/>
        <v>2.7911566039011952E-2</v>
      </c>
      <c r="H56" s="63">
        <f t="shared" si="10"/>
        <v>2.7912176471850989E-2</v>
      </c>
      <c r="I56" s="41">
        <f t="shared" si="11"/>
        <v>3.1620564444896746E-11</v>
      </c>
      <c r="J56" s="41">
        <f t="shared" si="12"/>
        <v>3.9856695694146306E-5</v>
      </c>
      <c r="K56" s="41">
        <f t="shared" si="13"/>
        <v>6.1043283903653033E-7</v>
      </c>
      <c r="L56" s="83">
        <f t="shared" si="14"/>
        <v>0</v>
      </c>
      <c r="M56" s="103">
        <f t="shared" si="15"/>
        <v>4.9811430144833551E-5</v>
      </c>
    </row>
    <row r="57" spans="1:13" ht="15.75" thickBot="1" x14ac:dyDescent="0.3">
      <c r="C57" s="84">
        <f t="shared" si="6"/>
        <v>196740.07369445221</v>
      </c>
      <c r="D57" s="122">
        <f t="shared" si="7"/>
        <v>0</v>
      </c>
      <c r="F57" s="84">
        <f t="shared" si="8"/>
        <v>0</v>
      </c>
      <c r="G57" s="85">
        <f t="shared" si="9"/>
        <v>0</v>
      </c>
      <c r="H57" s="85">
        <f t="shared" si="10"/>
        <v>0</v>
      </c>
      <c r="I57" s="86">
        <f t="shared" si="11"/>
        <v>0</v>
      </c>
      <c r="J57" s="86">
        <f t="shared" si="12"/>
        <v>4.9815607899119677E-5</v>
      </c>
      <c r="K57" s="86">
        <f t="shared" si="13"/>
        <v>0</v>
      </c>
      <c r="L57" s="87">
        <f t="shared" si="14"/>
        <v>0</v>
      </c>
      <c r="M57" s="103">
        <f t="shared" si="15"/>
        <v>4.9815607899119677E-5</v>
      </c>
    </row>
    <row r="58" spans="1:13" ht="15.75" thickBot="1" x14ac:dyDescent="0.3">
      <c r="A58" t="s">
        <v>60</v>
      </c>
    </row>
    <row r="59" spans="1:13" ht="18" x14ac:dyDescent="0.35">
      <c r="B59" s="66"/>
      <c r="C59" s="116" t="s">
        <v>49</v>
      </c>
      <c r="D59" s="68" t="s">
        <v>37</v>
      </c>
      <c r="E59" s="68" t="s">
        <v>38</v>
      </c>
      <c r="F59" s="69"/>
    </row>
    <row r="60" spans="1:13" ht="18" x14ac:dyDescent="0.35">
      <c r="B60" s="79" t="s">
        <v>14</v>
      </c>
      <c r="C60" s="117" t="s">
        <v>50</v>
      </c>
      <c r="D60" s="114" t="s">
        <v>73</v>
      </c>
      <c r="E60" s="112" t="s">
        <v>74</v>
      </c>
      <c r="F60" s="81" t="s">
        <v>31</v>
      </c>
    </row>
    <row r="61" spans="1:13" x14ac:dyDescent="0.25">
      <c r="B61" s="70">
        <v>0</v>
      </c>
      <c r="C61" s="71">
        <f t="shared" ref="C61:C71" si="16">F31/J31</f>
        <v>1</v>
      </c>
      <c r="D61" s="73">
        <f t="shared" ref="D61:D71" si="17">E31</f>
        <v>0.96088039879999998</v>
      </c>
      <c r="E61" s="72">
        <f t="shared" ref="E61:E71" si="18">H47</f>
        <v>0.96088039880000009</v>
      </c>
      <c r="F61" s="90">
        <f t="shared" ref="F61:F71" si="19">(D61-E61)^2</f>
        <v>1.2325951644078309E-32</v>
      </c>
    </row>
    <row r="62" spans="1:13" x14ac:dyDescent="0.25">
      <c r="B62" s="70">
        <v>1</v>
      </c>
      <c r="C62" s="71">
        <f t="shared" si="16"/>
        <v>0.89992446505996859</v>
      </c>
      <c r="D62" s="73">
        <f t="shared" si="17"/>
        <v>0.81718230250000001</v>
      </c>
      <c r="E62" s="72">
        <f t="shared" si="18"/>
        <v>0.79655927272236415</v>
      </c>
      <c r="F62" s="90">
        <f t="shared" si="19"/>
        <v>4.2530935720925536E-4</v>
      </c>
    </row>
    <row r="63" spans="1:13" x14ac:dyDescent="0.25">
      <c r="B63" s="70">
        <v>2</v>
      </c>
      <c r="C63" s="71">
        <f t="shared" si="16"/>
        <v>0.79986572693139779</v>
      </c>
      <c r="D63" s="73">
        <f t="shared" si="17"/>
        <v>0.66084969039999997</v>
      </c>
      <c r="E63" s="72">
        <f t="shared" si="18"/>
        <v>0.63223843613039521</v>
      </c>
      <c r="F63" s="90">
        <f t="shared" si="19"/>
        <v>8.1860387087997653E-4</v>
      </c>
    </row>
    <row r="64" spans="1:13" x14ac:dyDescent="0.25">
      <c r="B64" s="70">
        <v>3</v>
      </c>
      <c r="C64" s="71">
        <f t="shared" si="16"/>
        <v>0.69982378138584345</v>
      </c>
      <c r="D64" s="73">
        <f t="shared" si="17"/>
        <v>0.47609001400000001</v>
      </c>
      <c r="E64" s="72">
        <f t="shared" si="18"/>
        <v>0.46791832369070885</v>
      </c>
      <c r="F64" s="90">
        <f t="shared" si="19"/>
        <v>6.6776522510963017E-5</v>
      </c>
    </row>
    <row r="65" spans="2:13" x14ac:dyDescent="0.25">
      <c r="B65" s="70">
        <v>4</v>
      </c>
      <c r="C65" s="71">
        <f t="shared" si="16"/>
        <v>0.59979862419628061</v>
      </c>
      <c r="D65" s="73">
        <f t="shared" si="17"/>
        <v>0.29211571809999998</v>
      </c>
      <c r="E65" s="72">
        <f t="shared" si="18"/>
        <v>0.30360111213719643</v>
      </c>
      <c r="F65" s="90">
        <f t="shared" si="19"/>
        <v>1.3191427618966777E-4</v>
      </c>
    </row>
    <row r="66" spans="2:13" x14ac:dyDescent="0.25">
      <c r="B66" s="70">
        <v>5</v>
      </c>
      <c r="C66" s="71">
        <f t="shared" si="16"/>
        <v>0.49979025113710307</v>
      </c>
      <c r="D66" s="73">
        <f t="shared" si="17"/>
        <v>0.1407156587</v>
      </c>
      <c r="E66" s="72">
        <f t="shared" si="18"/>
        <v>0.1405108340652004</v>
      </c>
      <c r="F66" s="90">
        <f t="shared" si="19"/>
        <v>4.1953131020787099E-8</v>
      </c>
    </row>
    <row r="67" spans="2:13" x14ac:dyDescent="0.25">
      <c r="B67" s="70">
        <v>6</v>
      </c>
      <c r="C67" s="71">
        <f t="shared" si="16"/>
        <v>0.39979865798412251</v>
      </c>
      <c r="D67" s="73">
        <f t="shared" si="17"/>
        <v>0.1009055823</v>
      </c>
      <c r="E67" s="72">
        <f t="shared" si="18"/>
        <v>0.11165389189743151</v>
      </c>
      <c r="F67" s="90">
        <f t="shared" si="19"/>
        <v>1.1552615920223819E-4</v>
      </c>
    </row>
    <row r="68" spans="2:13" x14ac:dyDescent="0.25">
      <c r="B68" s="70">
        <v>7</v>
      </c>
      <c r="C68" s="71">
        <f t="shared" si="16"/>
        <v>0.29982384051456795</v>
      </c>
      <c r="D68" s="73">
        <f t="shared" si="17"/>
        <v>7.5075909499999996E-2</v>
      </c>
      <c r="E68" s="72">
        <f t="shared" si="18"/>
        <v>8.3737827356398606E-2</v>
      </c>
      <c r="F68" s="90">
        <f t="shared" si="19"/>
        <v>7.5028820950997084E-5</v>
      </c>
    </row>
    <row r="69" spans="2:13" x14ac:dyDescent="0.25">
      <c r="B69" s="70">
        <v>8</v>
      </c>
      <c r="C69" s="71">
        <f t="shared" si="16"/>
        <v>0.19986579450708541</v>
      </c>
      <c r="D69" s="73">
        <f t="shared" si="17"/>
        <v>4.9798432740000002E-2</v>
      </c>
      <c r="E69" s="72">
        <f t="shared" si="18"/>
        <v>5.5824641479674079E-2</v>
      </c>
      <c r="F69" s="90">
        <f t="shared" si="19"/>
        <v>3.631519177412423E-5</v>
      </c>
    </row>
    <row r="70" spans="2:13" x14ac:dyDescent="0.25">
      <c r="B70" s="70">
        <v>9</v>
      </c>
      <c r="C70" s="71">
        <f t="shared" si="16"/>
        <v>9.9924515741736844E-2</v>
      </c>
      <c r="D70" s="73">
        <f t="shared" si="17"/>
        <v>5.1454674450000001E-2</v>
      </c>
      <c r="E70" s="72">
        <f t="shared" si="18"/>
        <v>2.7912176471850989E-2</v>
      </c>
      <c r="F70" s="90">
        <f t="shared" si="19"/>
        <v>5.5424921105115034E-4</v>
      </c>
    </row>
    <row r="71" spans="2:13" ht="15.75" thickBot="1" x14ac:dyDescent="0.3">
      <c r="B71" s="37">
        <v>10</v>
      </c>
      <c r="C71" s="74">
        <f t="shared" si="16"/>
        <v>0</v>
      </c>
      <c r="D71" s="76">
        <f t="shared" si="17"/>
        <v>0</v>
      </c>
      <c r="E71" s="75">
        <f t="shared" si="18"/>
        <v>0</v>
      </c>
      <c r="F71" s="91">
        <f t="shared" si="19"/>
        <v>0</v>
      </c>
    </row>
    <row r="72" spans="2:13" x14ac:dyDescent="0.25">
      <c r="F72" s="65" t="s">
        <v>32</v>
      </c>
      <c r="M72" t="s">
        <v>57</v>
      </c>
    </row>
    <row r="73" spans="2:13" ht="15.75" thickBot="1" x14ac:dyDescent="0.3">
      <c r="F73" s="64">
        <f>SUM(F62:F71)</f>
        <v>2.2237653628993932E-3</v>
      </c>
    </row>
    <row r="75" spans="2:13" ht="15.75" thickBot="1" x14ac:dyDescent="0.3"/>
    <row r="76" spans="2:13" ht="18" x14ac:dyDescent="0.35">
      <c r="B76" s="66"/>
      <c r="C76" s="67" t="s">
        <v>27</v>
      </c>
      <c r="D76" s="68" t="s">
        <v>37</v>
      </c>
      <c r="E76" s="68" t="s">
        <v>38</v>
      </c>
      <c r="F76" s="69"/>
    </row>
    <row r="77" spans="2:13" ht="18" x14ac:dyDescent="0.35">
      <c r="B77" s="79" t="s">
        <v>14</v>
      </c>
      <c r="C77" s="77" t="s">
        <v>26</v>
      </c>
      <c r="D77" s="92" t="s">
        <v>75</v>
      </c>
      <c r="E77" s="92" t="s">
        <v>76</v>
      </c>
      <c r="F77" s="80"/>
    </row>
    <row r="78" spans="2:13" x14ac:dyDescent="0.25">
      <c r="B78" s="70">
        <v>0</v>
      </c>
      <c r="C78" s="71">
        <f t="shared" ref="C78:C88" si="20">C61</f>
        <v>1</v>
      </c>
      <c r="D78" s="73">
        <f t="shared" ref="D78:D88" si="21">E31-H31-I31</f>
        <v>-1.1102230246251565E-16</v>
      </c>
      <c r="E78" s="118">
        <f t="shared" ref="E78:E88" si="22">F47*($D$45-$D$24-$D$25)</f>
        <v>0</v>
      </c>
      <c r="F78" s="90">
        <f t="shared" ref="F78:F88" si="23">(D78-E78)^2</f>
        <v>1.2325951644078309E-32</v>
      </c>
      <c r="G78" s="103"/>
    </row>
    <row r="79" spans="2:13" x14ac:dyDescent="0.25">
      <c r="B79" s="70">
        <v>1</v>
      </c>
      <c r="C79" s="71">
        <f t="shared" si="20"/>
        <v>0.89992446505996859</v>
      </c>
      <c r="D79" s="73">
        <f t="shared" si="21"/>
        <v>-4.7610056420000157E-2</v>
      </c>
      <c r="E79" s="118">
        <f t="shared" si="22"/>
        <v>-6.8233086197635962E-2</v>
      </c>
      <c r="F79" s="90">
        <f t="shared" si="23"/>
        <v>4.2530935720925308E-4</v>
      </c>
      <c r="G79" s="103"/>
    </row>
    <row r="80" spans="2:13" x14ac:dyDescent="0.25">
      <c r="B80" s="70">
        <v>2</v>
      </c>
      <c r="C80" s="71">
        <f t="shared" si="20"/>
        <v>0.79986572693139779</v>
      </c>
      <c r="D80" s="73">
        <f t="shared" si="21"/>
        <v>-0.10785462863999995</v>
      </c>
      <c r="E80" s="118">
        <f t="shared" si="22"/>
        <v>-0.13646588290960476</v>
      </c>
      <c r="F80" s="90">
        <f t="shared" si="23"/>
        <v>8.1860387087997967E-4</v>
      </c>
      <c r="G80" s="103"/>
    </row>
    <row r="81" spans="1:7" x14ac:dyDescent="0.25">
      <c r="B81" s="70">
        <v>3</v>
      </c>
      <c r="C81" s="71">
        <f t="shared" si="20"/>
        <v>0.69982378138584345</v>
      </c>
      <c r="D81" s="73">
        <f t="shared" si="21"/>
        <v>-0.19652626515999988</v>
      </c>
      <c r="E81" s="118">
        <f t="shared" si="22"/>
        <v>-0.20469795546929115</v>
      </c>
      <c r="F81" s="90">
        <f t="shared" si="23"/>
        <v>6.6776522510964833E-5</v>
      </c>
      <c r="G81" s="103"/>
    </row>
    <row r="82" spans="1:7" x14ac:dyDescent="0.25">
      <c r="B82" s="70">
        <v>4</v>
      </c>
      <c r="C82" s="71">
        <f t="shared" si="20"/>
        <v>0.59979862419628061</v>
      </c>
      <c r="D82" s="73">
        <f t="shared" si="21"/>
        <v>-0.28441252117999999</v>
      </c>
      <c r="E82" s="118">
        <f t="shared" si="22"/>
        <v>-0.27292712714280359</v>
      </c>
      <c r="F82" s="90">
        <f t="shared" si="23"/>
        <v>1.319142761896665E-4</v>
      </c>
      <c r="G82" s="103"/>
    </row>
    <row r="83" spans="1:7" x14ac:dyDescent="0.25">
      <c r="B83" s="70">
        <v>5</v>
      </c>
      <c r="C83" s="71">
        <f t="shared" si="20"/>
        <v>0.49979025113710307</v>
      </c>
      <c r="D83" s="73">
        <f t="shared" si="21"/>
        <v>-0.33972454070000002</v>
      </c>
      <c r="E83" s="118">
        <f t="shared" si="22"/>
        <v>-0.33992936533479967</v>
      </c>
      <c r="F83" s="90">
        <f t="shared" si="23"/>
        <v>4.1953131020809843E-8</v>
      </c>
      <c r="G83" s="103"/>
    </row>
    <row r="84" spans="1:7" x14ac:dyDescent="0.25">
      <c r="B84" s="70">
        <v>6</v>
      </c>
      <c r="C84" s="71">
        <f t="shared" si="20"/>
        <v>0.39979865798412251</v>
      </c>
      <c r="D84" s="73">
        <f t="shared" si="21"/>
        <v>-0.28344657721999994</v>
      </c>
      <c r="E84" s="118">
        <f t="shared" si="22"/>
        <v>-0.27269826762256844</v>
      </c>
      <c r="F84" s="90">
        <f t="shared" si="23"/>
        <v>1.1552615920223819E-4</v>
      </c>
      <c r="G84" s="103"/>
    </row>
    <row r="85" spans="1:7" x14ac:dyDescent="0.25">
      <c r="B85" s="70">
        <v>7</v>
      </c>
      <c r="C85" s="71">
        <f t="shared" si="20"/>
        <v>0.29982384051456795</v>
      </c>
      <c r="D85" s="73">
        <f t="shared" si="21"/>
        <v>-0.21318821014</v>
      </c>
      <c r="E85" s="118">
        <f t="shared" si="22"/>
        <v>-0.20452629228360142</v>
      </c>
      <c r="F85" s="90">
        <f t="shared" si="23"/>
        <v>7.5028820950996609E-5</v>
      </c>
      <c r="G85" s="103"/>
    </row>
    <row r="86" spans="1:7" x14ac:dyDescent="0.25">
      <c r="B86" s="70">
        <v>8</v>
      </c>
      <c r="C86" s="71">
        <f t="shared" si="20"/>
        <v>0.19986579450708541</v>
      </c>
      <c r="D86" s="73">
        <f t="shared" si="21"/>
        <v>-0.14237764701999997</v>
      </c>
      <c r="E86" s="118">
        <f t="shared" si="22"/>
        <v>-0.13635143828032589</v>
      </c>
      <c r="F86" s="90">
        <f t="shared" si="23"/>
        <v>3.631519177412423E-5</v>
      </c>
      <c r="G86" s="103"/>
    </row>
    <row r="87" spans="1:7" x14ac:dyDescent="0.25">
      <c r="B87" s="70">
        <v>9</v>
      </c>
      <c r="C87" s="71">
        <f t="shared" si="20"/>
        <v>9.9924515741736844E-2</v>
      </c>
      <c r="D87" s="73">
        <f t="shared" si="21"/>
        <v>-4.4633365429999988E-2</v>
      </c>
      <c r="E87" s="118">
        <f t="shared" si="22"/>
        <v>-6.8175863408149004E-2</v>
      </c>
      <c r="F87" s="90">
        <f t="shared" si="23"/>
        <v>5.5424921105115045E-4</v>
      </c>
      <c r="G87" s="103"/>
    </row>
    <row r="88" spans="1:7" ht="15.75" thickBot="1" x14ac:dyDescent="0.3">
      <c r="B88" s="37">
        <v>10</v>
      </c>
      <c r="C88" s="74">
        <f t="shared" si="20"/>
        <v>0</v>
      </c>
      <c r="D88" s="76">
        <f t="shared" si="21"/>
        <v>0</v>
      </c>
      <c r="E88" s="120">
        <f t="shared" si="22"/>
        <v>0</v>
      </c>
      <c r="F88" s="91">
        <f t="shared" si="23"/>
        <v>0</v>
      </c>
      <c r="G88" s="103"/>
    </row>
    <row r="89" spans="1:7" x14ac:dyDescent="0.25">
      <c r="D89" s="36"/>
      <c r="F89" s="65" t="s">
        <v>32</v>
      </c>
    </row>
    <row r="90" spans="1:7" ht="15.75" thickBot="1" x14ac:dyDescent="0.3">
      <c r="F90" s="64">
        <f>SUM(F78:F88)</f>
        <v>2.2237653628993945E-3</v>
      </c>
    </row>
    <row r="95" spans="1:7" x14ac:dyDescent="0.25">
      <c r="A95" t="s">
        <v>61</v>
      </c>
      <c r="E95" t="s">
        <v>42</v>
      </c>
    </row>
    <row r="96" spans="1:7" x14ac:dyDescent="0.25">
      <c r="E96" t="s">
        <v>43</v>
      </c>
    </row>
  </sheetData>
  <mergeCells count="3">
    <mergeCell ref="E5:F5"/>
    <mergeCell ref="C29:D29"/>
    <mergeCell ref="F29:J29"/>
  </mergeCell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Button 1">
              <controlPr defaultSize="0" print="0" autoFill="0" autoPict="0" macro="[0]!Ajuste" altText="Solver">
                <anchor moveWithCells="1" sizeWithCells="1">
                  <from>
                    <xdr:col>6</xdr:col>
                    <xdr:colOff>104775</xdr:colOff>
                    <xdr:row>87</xdr:row>
                    <xdr:rowOff>76200</xdr:rowOff>
                  </from>
                  <to>
                    <xdr:col>6</xdr:col>
                    <xdr:colOff>828675</xdr:colOff>
                    <xdr:row>90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5" name="Button 2">
              <controlPr defaultSize="0" print="0" autoFill="0" autoPict="0" macro="[0]!Solver1">
                <anchor moveWithCells="1" sizeWithCells="1">
                  <from>
                    <xdr:col>6</xdr:col>
                    <xdr:colOff>104775</xdr:colOff>
                    <xdr:row>70</xdr:row>
                    <xdr:rowOff>66675</xdr:rowOff>
                  </from>
                  <to>
                    <xdr:col>6</xdr:col>
                    <xdr:colOff>790575</xdr:colOff>
                    <xdr:row>73</xdr:row>
                    <xdr:rowOff>104775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"/>
  <dimension ref="A1:N96"/>
  <sheetViews>
    <sheetView tabSelected="1" topLeftCell="A66" zoomScale="91" zoomScaleNormal="91" workbookViewId="0">
      <selection activeCell="H75" sqref="G72:H75"/>
    </sheetView>
  </sheetViews>
  <sheetFormatPr baseColWidth="10" defaultRowHeight="15" x14ac:dyDescent="0.25"/>
  <cols>
    <col min="2" max="2" width="27" customWidth="1"/>
    <col min="3" max="3" width="14.42578125" customWidth="1"/>
    <col min="4" max="4" width="17.7109375" customWidth="1"/>
    <col min="5" max="5" width="15.85546875" customWidth="1"/>
    <col min="6" max="6" width="14" customWidth="1"/>
    <col min="7" max="7" width="15.28515625" customWidth="1"/>
    <col min="8" max="8" width="15" customWidth="1"/>
    <col min="9" max="9" width="12.140625" customWidth="1"/>
    <col min="10" max="10" width="14.42578125" customWidth="1"/>
    <col min="11" max="11" width="12.85546875" customWidth="1"/>
    <col min="12" max="12" width="15.42578125" customWidth="1"/>
    <col min="13" max="13" width="15" customWidth="1"/>
  </cols>
  <sheetData>
    <row r="1" spans="1:12" ht="15.75" thickBot="1" x14ac:dyDescent="0.3">
      <c r="A1" s="1" t="s">
        <v>0</v>
      </c>
    </row>
    <row r="2" spans="1:12" s="10" customFormat="1" x14ac:dyDescent="0.25">
      <c r="A2" s="10" t="s">
        <v>16</v>
      </c>
      <c r="H2" s="94" t="s">
        <v>39</v>
      </c>
      <c r="I2" s="95"/>
      <c r="J2" s="95"/>
      <c r="K2" s="95"/>
      <c r="L2" s="96"/>
    </row>
    <row r="3" spans="1:12" s="10" customFormat="1" x14ac:dyDescent="0.25">
      <c r="A3" s="10" t="s">
        <v>1</v>
      </c>
      <c r="H3" s="97" t="s">
        <v>40</v>
      </c>
      <c r="I3" s="93"/>
      <c r="J3" s="93"/>
      <c r="K3" s="93"/>
      <c r="L3" s="98"/>
    </row>
    <row r="4" spans="1:12" ht="15.75" thickBot="1" x14ac:dyDescent="0.3">
      <c r="B4" s="2"/>
      <c r="C4" s="2"/>
      <c r="H4" s="99" t="s">
        <v>64</v>
      </c>
      <c r="I4" s="100"/>
      <c r="J4" s="100"/>
      <c r="K4" s="100"/>
      <c r="L4" s="101"/>
    </row>
    <row r="5" spans="1:12" x14ac:dyDescent="0.25">
      <c r="A5" s="2"/>
      <c r="B5" s="5" t="s">
        <v>62</v>
      </c>
      <c r="C5" s="30" t="s">
        <v>4</v>
      </c>
      <c r="E5" s="130" t="str">
        <f>"stock solution "&amp;C5&amp;""</f>
        <v>stock solution FBI-G3</v>
      </c>
      <c r="F5" s="131"/>
    </row>
    <row r="6" spans="1:12" ht="15.75" thickBot="1" x14ac:dyDescent="0.3">
      <c r="A6" s="2"/>
      <c r="B6" s="3" t="s">
        <v>6</v>
      </c>
      <c r="C6" s="12">
        <v>0.60299999999999998</v>
      </c>
      <c r="E6" s="26">
        <f>C9*E9/G9</f>
        <v>4.9773830356258456E-5</v>
      </c>
      <c r="F6" s="29" t="s">
        <v>10</v>
      </c>
    </row>
    <row r="7" spans="1:12" ht="15.75" thickBot="1" x14ac:dyDescent="0.3">
      <c r="A7" s="2"/>
      <c r="B7" s="3" t="s">
        <v>2</v>
      </c>
      <c r="C7" s="12">
        <v>605.74</v>
      </c>
    </row>
    <row r="8" spans="1:12" x14ac:dyDescent="0.25">
      <c r="A8" s="2"/>
      <c r="B8" s="3" t="s">
        <v>3</v>
      </c>
      <c r="C8" s="12">
        <v>20</v>
      </c>
      <c r="E8" s="125" t="s">
        <v>8</v>
      </c>
      <c r="G8" s="125" t="s">
        <v>9</v>
      </c>
    </row>
    <row r="9" spans="1:12" ht="15.75" thickBot="1" x14ac:dyDescent="0.3">
      <c r="B9" s="4" t="s">
        <v>12</v>
      </c>
      <c r="C9" s="127">
        <f>(C6/C7)/C8</f>
        <v>4.9773830356258456E-5</v>
      </c>
      <c r="E9" s="126">
        <v>10</v>
      </c>
      <c r="G9" s="126">
        <v>10</v>
      </c>
    </row>
    <row r="11" spans="1:12" s="10" customFormat="1" ht="15.75" thickBot="1" x14ac:dyDescent="0.3">
      <c r="A11" s="10" t="s">
        <v>41</v>
      </c>
      <c r="E11"/>
    </row>
    <row r="12" spans="1:12" x14ac:dyDescent="0.25">
      <c r="B12" s="7" t="s">
        <v>63</v>
      </c>
      <c r="C12" s="31" t="s">
        <v>5</v>
      </c>
      <c r="E12" s="16" t="str">
        <f>"stock solution of "&amp;C12&amp;""</f>
        <v>stock solution of Ba(ClO4)2</v>
      </c>
      <c r="F12" s="17"/>
    </row>
    <row r="13" spans="1:12" ht="15.75" thickBot="1" x14ac:dyDescent="0.3">
      <c r="B13" s="6" t="s">
        <v>6</v>
      </c>
      <c r="C13" s="13">
        <v>3.35</v>
      </c>
      <c r="E13" s="27">
        <f>C17*E17/G17</f>
        <v>4.9815607899119677E-5</v>
      </c>
      <c r="F13" s="28" t="s">
        <v>10</v>
      </c>
    </row>
    <row r="14" spans="1:12" x14ac:dyDescent="0.25">
      <c r="B14" s="9" t="s">
        <v>11</v>
      </c>
      <c r="C14" s="13">
        <v>100</v>
      </c>
    </row>
    <row r="15" spans="1:12" ht="15.75" thickBot="1" x14ac:dyDescent="0.3">
      <c r="B15" s="6" t="s">
        <v>2</v>
      </c>
      <c r="C15" s="13">
        <v>336.24</v>
      </c>
    </row>
    <row r="16" spans="1:12" x14ac:dyDescent="0.25">
      <c r="A16" s="2"/>
      <c r="B16" s="6" t="s">
        <v>7</v>
      </c>
      <c r="C16" s="14">
        <v>20</v>
      </c>
      <c r="E16" s="8" t="s">
        <v>8</v>
      </c>
      <c r="G16" s="8" t="s">
        <v>9</v>
      </c>
    </row>
    <row r="17" spans="1:12" ht="15.75" thickBot="1" x14ac:dyDescent="0.3">
      <c r="B17" s="11" t="s">
        <v>12</v>
      </c>
      <c r="C17" s="25">
        <f>((C13*C14/100)/C15)/C16</f>
        <v>4.9815607899119675E-4</v>
      </c>
      <c r="E17" s="15">
        <v>10</v>
      </c>
      <c r="G17" s="15">
        <v>100</v>
      </c>
    </row>
    <row r="19" spans="1:12" x14ac:dyDescent="0.25">
      <c r="A19" t="str">
        <f xml:space="preserve"> "3. Input the amount (mL) of Host and Guest stock solutions mixed and the observed absorbance (Aobs) at "&amp;C21&amp;"nm. Pure Host ("&amp;C5&amp;") and Guest ("&amp;C12&amp;") are experiments 0 an 10, respectively"</f>
        <v>3. Input the amount (mL) of Host and Guest stock solutions mixed and the observed absorbance (Aobs) at 364nm. Pure Host (FBI-G3) and Guest (Ba(ClO4)2) are experiments 0 an 10, respectively</v>
      </c>
    </row>
    <row r="20" spans="1:12" ht="15.75" thickBot="1" x14ac:dyDescent="0.3">
      <c r="D20" s="1"/>
    </row>
    <row r="21" spans="1:12" ht="18.75" thickBot="1" x14ac:dyDescent="0.4">
      <c r="B21" s="18" t="s">
        <v>13</v>
      </c>
      <c r="C21" s="23">
        <v>364</v>
      </c>
    </row>
    <row r="22" spans="1:12" ht="15.75" thickBot="1" x14ac:dyDescent="0.3"/>
    <row r="23" spans="1:12" ht="18" x14ac:dyDescent="0.35">
      <c r="B23" s="19"/>
      <c r="C23" s="20" t="s">
        <v>66</v>
      </c>
      <c r="D23" s="24" t="s">
        <v>65</v>
      </c>
    </row>
    <row r="24" spans="1:12" x14ac:dyDescent="0.25">
      <c r="B24" s="21" t="str">
        <f>"Host ("&amp;C5&amp;")"</f>
        <v>Host (FBI-G3)</v>
      </c>
      <c r="C24" s="32">
        <f>E31</f>
        <v>0.96088039879999998</v>
      </c>
      <c r="D24" s="33">
        <f>C24/E6</f>
        <v>19304.931766803053</v>
      </c>
    </row>
    <row r="25" spans="1:12" ht="15.75" thickBot="1" x14ac:dyDescent="0.3">
      <c r="B25" s="22" t="str">
        <f>"Guest ("&amp;C12&amp;")"</f>
        <v>Guest (Ba(ClO4)2)</v>
      </c>
      <c r="C25" s="34">
        <f>E41</f>
        <v>0</v>
      </c>
      <c r="D25" s="35">
        <f>C25/E13</f>
        <v>0</v>
      </c>
    </row>
    <row r="27" spans="1:12" x14ac:dyDescent="0.25">
      <c r="L27" s="2"/>
    </row>
    <row r="28" spans="1:12" ht="15.75" thickBot="1" x14ac:dyDescent="0.3">
      <c r="L28" s="2"/>
    </row>
    <row r="29" spans="1:12" ht="18" x14ac:dyDescent="0.35">
      <c r="B29" s="42"/>
      <c r="C29" s="132" t="s">
        <v>15</v>
      </c>
      <c r="D29" s="133"/>
      <c r="E29" s="113" t="s">
        <v>23</v>
      </c>
      <c r="F29" s="134" t="s">
        <v>56</v>
      </c>
      <c r="G29" s="135"/>
      <c r="H29" s="135"/>
      <c r="I29" s="135"/>
      <c r="J29" s="135"/>
      <c r="K29" s="108" t="s">
        <v>49</v>
      </c>
      <c r="L29" s="2"/>
    </row>
    <row r="30" spans="1:12" ht="18" x14ac:dyDescent="0.35">
      <c r="B30" s="45" t="s">
        <v>14</v>
      </c>
      <c r="C30" s="46" t="s">
        <v>17</v>
      </c>
      <c r="D30" s="47" t="s">
        <v>18</v>
      </c>
      <c r="E30" s="48" t="str">
        <f>""&amp;C21&amp;" nm"</f>
        <v>364 nm</v>
      </c>
      <c r="F30" s="46" t="s">
        <v>29</v>
      </c>
      <c r="G30" s="48" t="s">
        <v>30</v>
      </c>
      <c r="H30" s="49" t="s">
        <v>47</v>
      </c>
      <c r="I30" s="49" t="s">
        <v>48</v>
      </c>
      <c r="J30" s="50" t="s">
        <v>45</v>
      </c>
      <c r="K30" s="115" t="s">
        <v>50</v>
      </c>
      <c r="L30" s="2"/>
    </row>
    <row r="31" spans="1:12" x14ac:dyDescent="0.25">
      <c r="B31" s="43">
        <v>0</v>
      </c>
      <c r="C31" s="57">
        <v>3</v>
      </c>
      <c r="D31" s="58">
        <v>0</v>
      </c>
      <c r="E31" s="61">
        <v>0.96088039879999998</v>
      </c>
      <c r="F31" s="51">
        <f t="shared" ref="F31:F41" si="0">$E$6*C31/(C31+D31)</f>
        <v>4.9773830356258463E-5</v>
      </c>
      <c r="G31" s="52">
        <f t="shared" ref="G31:G41" si="1">$E$13*D31/(D31+C31)</f>
        <v>0</v>
      </c>
      <c r="H31" s="53">
        <f>F31*$D$24</f>
        <v>0.96088039880000009</v>
      </c>
      <c r="I31" s="53">
        <f>$D$25*G31</f>
        <v>0</v>
      </c>
      <c r="J31" s="104">
        <f>F31+G31</f>
        <v>4.9773830356258463E-5</v>
      </c>
      <c r="K31" s="106">
        <f>F31/J31</f>
        <v>1</v>
      </c>
      <c r="L31" s="2"/>
    </row>
    <row r="32" spans="1:12" x14ac:dyDescent="0.25">
      <c r="B32" s="43">
        <v>1</v>
      </c>
      <c r="C32" s="57">
        <v>2.7</v>
      </c>
      <c r="D32" s="58">
        <v>0.3</v>
      </c>
      <c r="E32" s="61">
        <v>0.81718230250000001</v>
      </c>
      <c r="F32" s="51">
        <f t="shared" si="0"/>
        <v>4.4796447320632618E-5</v>
      </c>
      <c r="G32" s="52">
        <f t="shared" si="1"/>
        <v>4.9815607899119672E-6</v>
      </c>
      <c r="H32" s="53">
        <f t="shared" ref="H32:H41" si="2">F32*$D$24</f>
        <v>0.86479235892000017</v>
      </c>
      <c r="I32" s="53">
        <f t="shared" ref="I32:I41" si="3">$D$25*G32</f>
        <v>0</v>
      </c>
      <c r="J32" s="104">
        <f t="shared" ref="J32:J41" si="4">F32+G32</f>
        <v>4.9778008110544588E-5</v>
      </c>
      <c r="K32" s="106">
        <f t="shared" ref="K32:K41" si="5">F32/J32</f>
        <v>0.89992446505996859</v>
      </c>
      <c r="L32" s="2"/>
    </row>
    <row r="33" spans="1:14" x14ac:dyDescent="0.25">
      <c r="B33" s="43">
        <v>2</v>
      </c>
      <c r="C33" s="57">
        <v>2.4</v>
      </c>
      <c r="D33" s="58">
        <v>0.6</v>
      </c>
      <c r="E33" s="61">
        <v>0.66084969039999997</v>
      </c>
      <c r="F33" s="51">
        <f t="shared" si="0"/>
        <v>3.9819064285006761E-5</v>
      </c>
      <c r="G33" s="52">
        <f t="shared" si="1"/>
        <v>9.9631215798239343E-6</v>
      </c>
      <c r="H33" s="53">
        <f t="shared" si="2"/>
        <v>0.76870431903999992</v>
      </c>
      <c r="I33" s="53">
        <f t="shared" si="3"/>
        <v>0</v>
      </c>
      <c r="J33" s="104">
        <f t="shared" si="4"/>
        <v>4.9782185864830693E-5</v>
      </c>
      <c r="K33" s="106">
        <f t="shared" si="5"/>
        <v>0.79986572693139779</v>
      </c>
      <c r="L33" s="2"/>
    </row>
    <row r="34" spans="1:14" x14ac:dyDescent="0.25">
      <c r="B34" s="43">
        <v>3</v>
      </c>
      <c r="C34" s="57">
        <v>2.1</v>
      </c>
      <c r="D34" s="58">
        <v>0.9</v>
      </c>
      <c r="E34" s="61">
        <v>0.47609001400000001</v>
      </c>
      <c r="F34" s="51">
        <f t="shared" si="0"/>
        <v>3.4841681249380916E-5</v>
      </c>
      <c r="G34" s="52">
        <f t="shared" si="1"/>
        <v>1.4944682369735902E-5</v>
      </c>
      <c r="H34" s="53">
        <f t="shared" si="2"/>
        <v>0.67261627915999989</v>
      </c>
      <c r="I34" s="53">
        <f t="shared" si="3"/>
        <v>0</v>
      </c>
      <c r="J34" s="104">
        <f t="shared" si="4"/>
        <v>4.9786363619116819E-5</v>
      </c>
      <c r="K34" s="106">
        <f t="shared" si="5"/>
        <v>0.69982378138584345</v>
      </c>
      <c r="L34" s="2"/>
    </row>
    <row r="35" spans="1:14" x14ac:dyDescent="0.25">
      <c r="B35" s="43">
        <v>4</v>
      </c>
      <c r="C35" s="57">
        <v>1.8</v>
      </c>
      <c r="D35" s="58">
        <v>1.2</v>
      </c>
      <c r="E35" s="61">
        <v>0.29211571809999998</v>
      </c>
      <c r="F35" s="51">
        <f t="shared" si="0"/>
        <v>2.9864298213755076E-5</v>
      </c>
      <c r="G35" s="52">
        <f t="shared" si="1"/>
        <v>1.9926243159647869E-5</v>
      </c>
      <c r="H35" s="53">
        <f t="shared" si="2"/>
        <v>0.57652823927999997</v>
      </c>
      <c r="I35" s="53">
        <f t="shared" si="3"/>
        <v>0</v>
      </c>
      <c r="J35" s="104">
        <f t="shared" si="4"/>
        <v>4.9790541373402944E-5</v>
      </c>
      <c r="K35" s="106">
        <f t="shared" si="5"/>
        <v>0.59979862419628061</v>
      </c>
      <c r="L35" s="2"/>
    </row>
    <row r="36" spans="1:14" x14ac:dyDescent="0.25">
      <c r="B36" s="43">
        <v>5</v>
      </c>
      <c r="C36" s="57">
        <v>1.5</v>
      </c>
      <c r="D36" s="58">
        <v>1.5</v>
      </c>
      <c r="E36" s="61">
        <v>0.1407156587</v>
      </c>
      <c r="F36" s="51">
        <f t="shared" si="0"/>
        <v>2.4886915178129231E-5</v>
      </c>
      <c r="G36" s="52">
        <f t="shared" si="1"/>
        <v>2.4907803949559838E-5</v>
      </c>
      <c r="H36" s="53">
        <f t="shared" si="2"/>
        <v>0.48044019940000005</v>
      </c>
      <c r="I36" s="53">
        <f t="shared" si="3"/>
        <v>0</v>
      </c>
      <c r="J36" s="104">
        <f t="shared" si="4"/>
        <v>4.979471912768907E-5</v>
      </c>
      <c r="K36" s="106">
        <f t="shared" si="5"/>
        <v>0.49979025113710307</v>
      </c>
      <c r="L36" s="2"/>
    </row>
    <row r="37" spans="1:14" x14ac:dyDescent="0.25">
      <c r="B37" s="43">
        <v>6</v>
      </c>
      <c r="C37" s="57">
        <v>1.2</v>
      </c>
      <c r="D37" s="58">
        <v>1.8</v>
      </c>
      <c r="E37" s="61">
        <v>0.1009055823</v>
      </c>
      <c r="F37" s="51">
        <f t="shared" si="0"/>
        <v>1.990953214250338E-5</v>
      </c>
      <c r="G37" s="52">
        <f t="shared" si="1"/>
        <v>2.9889364739471805E-5</v>
      </c>
      <c r="H37" s="53">
        <f t="shared" si="2"/>
        <v>0.38435215951999996</v>
      </c>
      <c r="I37" s="53">
        <f t="shared" si="3"/>
        <v>0</v>
      </c>
      <c r="J37" s="104">
        <f t="shared" si="4"/>
        <v>4.9798896881975182E-5</v>
      </c>
      <c r="K37" s="106">
        <f t="shared" si="5"/>
        <v>0.39979865798412251</v>
      </c>
      <c r="L37" s="2"/>
    </row>
    <row r="38" spans="1:14" x14ac:dyDescent="0.25">
      <c r="B38" s="43">
        <v>7</v>
      </c>
      <c r="C38" s="57">
        <v>0.9</v>
      </c>
      <c r="D38" s="58">
        <v>2.1</v>
      </c>
      <c r="E38" s="61">
        <v>7.5075909499999996E-2</v>
      </c>
      <c r="F38" s="51">
        <f t="shared" si="0"/>
        <v>1.4932149106877538E-5</v>
      </c>
      <c r="G38" s="52">
        <f t="shared" si="1"/>
        <v>3.4870925529383774E-5</v>
      </c>
      <c r="H38" s="53">
        <f t="shared" si="2"/>
        <v>0.28826411963999998</v>
      </c>
      <c r="I38" s="53">
        <f t="shared" si="3"/>
        <v>0</v>
      </c>
      <c r="J38" s="104">
        <f t="shared" si="4"/>
        <v>4.9803074636261314E-5</v>
      </c>
      <c r="K38" s="106">
        <f t="shared" si="5"/>
        <v>0.29982384051456795</v>
      </c>
      <c r="L38" s="2"/>
    </row>
    <row r="39" spans="1:14" x14ac:dyDescent="0.25">
      <c r="B39" s="43">
        <v>8</v>
      </c>
      <c r="C39" s="57">
        <v>0.6</v>
      </c>
      <c r="D39" s="58">
        <v>2.4</v>
      </c>
      <c r="E39" s="61">
        <v>4.9798432740000002E-2</v>
      </c>
      <c r="F39" s="51">
        <f t="shared" si="0"/>
        <v>9.9547660712516901E-6</v>
      </c>
      <c r="G39" s="52">
        <f t="shared" si="1"/>
        <v>3.9852486319295737E-5</v>
      </c>
      <c r="H39" s="53">
        <f t="shared" si="2"/>
        <v>0.19217607975999998</v>
      </c>
      <c r="I39" s="53">
        <f t="shared" si="3"/>
        <v>0</v>
      </c>
      <c r="J39" s="104">
        <f t="shared" si="4"/>
        <v>4.9807252390547426E-5</v>
      </c>
      <c r="K39" s="106">
        <f t="shared" si="5"/>
        <v>0.19986579450708541</v>
      </c>
      <c r="L39" s="2"/>
    </row>
    <row r="40" spans="1:14" x14ac:dyDescent="0.25">
      <c r="B40" s="43">
        <v>9</v>
      </c>
      <c r="C40" s="57">
        <v>0.3</v>
      </c>
      <c r="D40" s="58">
        <v>2.7</v>
      </c>
      <c r="E40" s="61">
        <v>5.1454674450000001E-2</v>
      </c>
      <c r="F40" s="51">
        <f t="shared" si="0"/>
        <v>4.9773830356258451E-6</v>
      </c>
      <c r="G40" s="52">
        <f t="shared" si="1"/>
        <v>4.4834047109207707E-5</v>
      </c>
      <c r="H40" s="53">
        <f t="shared" si="2"/>
        <v>9.608803987999999E-2</v>
      </c>
      <c r="I40" s="53">
        <f t="shared" si="3"/>
        <v>0</v>
      </c>
      <c r="J40" s="104">
        <f t="shared" si="4"/>
        <v>4.9811430144833551E-5</v>
      </c>
      <c r="K40" s="106">
        <f t="shared" si="5"/>
        <v>9.9924515741736844E-2</v>
      </c>
      <c r="L40" s="2"/>
    </row>
    <row r="41" spans="1:14" ht="15.75" thickBot="1" x14ac:dyDescent="0.3">
      <c r="B41" s="44">
        <v>10</v>
      </c>
      <c r="C41" s="59">
        <v>0</v>
      </c>
      <c r="D41" s="60">
        <v>3</v>
      </c>
      <c r="E41" s="62">
        <v>0</v>
      </c>
      <c r="F41" s="54">
        <f t="shared" si="0"/>
        <v>0</v>
      </c>
      <c r="G41" s="55">
        <f t="shared" si="1"/>
        <v>4.9815607899119677E-5</v>
      </c>
      <c r="H41" s="56">
        <f t="shared" si="2"/>
        <v>0</v>
      </c>
      <c r="I41" s="56">
        <f t="shared" si="3"/>
        <v>0</v>
      </c>
      <c r="J41" s="105">
        <f t="shared" si="4"/>
        <v>4.9815607899119677E-5</v>
      </c>
      <c r="K41" s="107">
        <f t="shared" si="5"/>
        <v>0</v>
      </c>
      <c r="L41" s="2"/>
    </row>
    <row r="42" spans="1:14" x14ac:dyDescent="0.25">
      <c r="L42" s="2"/>
    </row>
    <row r="43" spans="1:14" ht="15.75" thickBot="1" x14ac:dyDescent="0.3">
      <c r="A43" t="s">
        <v>25</v>
      </c>
    </row>
    <row r="44" spans="1:14" ht="15.75" thickBot="1" x14ac:dyDescent="0.3">
      <c r="C44" s="38" t="s">
        <v>19</v>
      </c>
      <c r="D44" s="39" t="s">
        <v>20</v>
      </c>
    </row>
    <row r="45" spans="1:14" ht="18.75" thickBot="1" x14ac:dyDescent="0.4">
      <c r="C45" s="40">
        <v>3947485867.6854777</v>
      </c>
      <c r="D45" s="119">
        <v>5607.7123017548429</v>
      </c>
      <c r="F45" s="109" t="s">
        <v>51</v>
      </c>
      <c r="G45" s="111" t="s">
        <v>52</v>
      </c>
      <c r="H45" s="68"/>
      <c r="I45" s="110" t="s">
        <v>53</v>
      </c>
      <c r="J45" s="111" t="s">
        <v>54</v>
      </c>
      <c r="K45" s="68"/>
      <c r="L45" s="69"/>
    </row>
    <row r="46" spans="1:14" ht="18.75" thickBot="1" x14ac:dyDescent="0.4">
      <c r="C46" s="123" t="s">
        <v>46</v>
      </c>
      <c r="D46" s="124" t="s">
        <v>44</v>
      </c>
      <c r="F46" s="88" t="s">
        <v>21</v>
      </c>
      <c r="G46" s="78" t="s">
        <v>22</v>
      </c>
      <c r="H46" s="112" t="s">
        <v>24</v>
      </c>
      <c r="I46" s="78" t="s">
        <v>34</v>
      </c>
      <c r="J46" s="78" t="s">
        <v>35</v>
      </c>
      <c r="K46" s="78" t="s">
        <v>33</v>
      </c>
      <c r="L46" s="89" t="s">
        <v>55</v>
      </c>
      <c r="M46" s="102" t="s">
        <v>58</v>
      </c>
      <c r="N46" s="102"/>
    </row>
    <row r="47" spans="1:14" x14ac:dyDescent="0.25">
      <c r="C47" s="82">
        <f>$C$45*J31</f>
        <v>196481.49191190471</v>
      </c>
      <c r="D47" s="121">
        <f>(C47+1-(SQRT(((C47+1)^2)-4*C47*C47*(K31-K31^2))))/(2*C47)</f>
        <v>0</v>
      </c>
      <c r="F47" s="82">
        <f>D47*J31</f>
        <v>0</v>
      </c>
      <c r="G47" s="63">
        <f>F47*$D$45</f>
        <v>0</v>
      </c>
      <c r="H47" s="63">
        <f>G47+L47+K47</f>
        <v>0.96088039880000009</v>
      </c>
      <c r="I47" s="41">
        <f>F31-F47</f>
        <v>4.9773830356258463E-5</v>
      </c>
      <c r="J47" s="41">
        <f>G31-(D47*J31)</f>
        <v>0</v>
      </c>
      <c r="K47" s="41">
        <f>I47*$D$24</f>
        <v>0.96088039880000009</v>
      </c>
      <c r="L47" s="83">
        <f>$D$25*J47</f>
        <v>0</v>
      </c>
      <c r="M47" s="103">
        <f>I47+J47+(F47*2)</f>
        <v>4.9773830356258463E-5</v>
      </c>
    </row>
    <row r="48" spans="1:14" x14ac:dyDescent="0.25">
      <c r="C48" s="82">
        <f t="shared" ref="C48:C57" si="6">$C$45*J32</f>
        <v>196497.98353790786</v>
      </c>
      <c r="D48" s="121">
        <f t="shared" ref="D48:D57" si="7">(C48+1-(SQRT(((C48+1)^2)-4*C48*C48*(K32-K32^2))))/(2*C48)</f>
        <v>0.10007489820499865</v>
      </c>
      <c r="F48" s="82">
        <f t="shared" ref="F48:F57" si="8">D48*J32</f>
        <v>4.981529094510347E-6</v>
      </c>
      <c r="G48" s="63">
        <f t="shared" ref="G48:G57" si="9">F48*$D$45</f>
        <v>2.7934981984835336E-2</v>
      </c>
      <c r="H48" s="63">
        <f t="shared" ref="H48:H57" si="10">G48+L48+K48</f>
        <v>0.79655926164096902</v>
      </c>
      <c r="I48" s="41">
        <f t="shared" ref="I48:I57" si="11">F32-F48</f>
        <v>3.9814918226122269E-5</v>
      </c>
      <c r="J48" s="41">
        <f t="shared" ref="J48:J57" si="12">G32-(D48*J32)</f>
        <v>3.1695401620131236E-11</v>
      </c>
      <c r="K48" s="41">
        <f t="shared" ref="K48:K57" si="13">I48*$D$24</f>
        <v>0.76862427965613367</v>
      </c>
      <c r="L48" s="83">
        <f t="shared" ref="L48:L57" si="14">$D$25*J48</f>
        <v>0</v>
      </c>
      <c r="M48" s="103">
        <f t="shared" ref="M48:M57" si="15">I48+J48+(F48*2)</f>
        <v>4.9778008110544581E-5</v>
      </c>
    </row>
    <row r="49" spans="1:13" x14ac:dyDescent="0.25">
      <c r="C49" s="82">
        <f t="shared" si="6"/>
        <v>196514.47516391092</v>
      </c>
      <c r="D49" s="121">
        <f t="shared" si="7"/>
        <v>0.20013257496109876</v>
      </c>
      <c r="F49" s="82">
        <f t="shared" si="8"/>
        <v>9.9630370443205794E-6</v>
      </c>
      <c r="G49" s="63">
        <f t="shared" si="9"/>
        <v>5.5869845396275722E-2</v>
      </c>
      <c r="H49" s="63">
        <f t="shared" si="10"/>
        <v>0.63223841410553561</v>
      </c>
      <c r="I49" s="41">
        <f t="shared" si="11"/>
        <v>2.9856027240686181E-5</v>
      </c>
      <c r="J49" s="41">
        <f t="shared" si="12"/>
        <v>8.4535503354964754E-11</v>
      </c>
      <c r="K49" s="41">
        <f t="shared" si="13"/>
        <v>0.5763685687092599</v>
      </c>
      <c r="L49" s="83">
        <f t="shared" si="14"/>
        <v>0</v>
      </c>
      <c r="M49" s="103">
        <f t="shared" si="15"/>
        <v>4.9782185864830693E-5</v>
      </c>
    </row>
    <row r="50" spans="1:13" x14ac:dyDescent="0.25">
      <c r="C50" s="82">
        <f t="shared" si="6"/>
        <v>196530.96678991406</v>
      </c>
      <c r="D50" s="121">
        <f t="shared" si="7"/>
        <v>0.30017239689789105</v>
      </c>
      <c r="F50" s="82">
        <f t="shared" si="8"/>
        <v>1.4944492100380257E-5</v>
      </c>
      <c r="G50" s="63">
        <f t="shared" si="9"/>
        <v>8.3804412194780437E-2</v>
      </c>
      <c r="H50" s="63">
        <f t="shared" si="10"/>
        <v>0.46791829106741223</v>
      </c>
      <c r="I50" s="41">
        <f t="shared" si="11"/>
        <v>1.9897189149000657E-5</v>
      </c>
      <c r="J50" s="41">
        <f t="shared" si="12"/>
        <v>1.902693556451795E-10</v>
      </c>
      <c r="K50" s="41">
        <f t="shared" si="13"/>
        <v>0.38411387887263176</v>
      </c>
      <c r="L50" s="83">
        <f t="shared" si="14"/>
        <v>0</v>
      </c>
      <c r="M50" s="103">
        <f t="shared" si="15"/>
        <v>4.9786363619116819E-5</v>
      </c>
    </row>
    <row r="51" spans="1:13" x14ac:dyDescent="0.25">
      <c r="C51" s="82">
        <f t="shared" si="6"/>
        <v>196547.45841591721</v>
      </c>
      <c r="D51" s="121">
        <f t="shared" si="7"/>
        <v>0.40019117525977504</v>
      </c>
      <c r="F51" s="82">
        <f t="shared" si="8"/>
        <v>1.9925735269042577E-5</v>
      </c>
      <c r="G51" s="63">
        <f t="shared" si="9"/>
        <v>0.1117377907897204</v>
      </c>
      <c r="H51" s="63">
        <f t="shared" si="10"/>
        <v>0.30360107029747241</v>
      </c>
      <c r="I51" s="41">
        <f t="shared" si="11"/>
        <v>9.9385629447124981E-6</v>
      </c>
      <c r="J51" s="41">
        <f t="shared" si="12"/>
        <v>5.0789060529129754E-10</v>
      </c>
      <c r="K51" s="41">
        <f t="shared" si="13"/>
        <v>0.191863279507752</v>
      </c>
      <c r="L51" s="83">
        <f t="shared" si="14"/>
        <v>0</v>
      </c>
      <c r="M51" s="103">
        <f t="shared" si="15"/>
        <v>4.9790541373402944E-5</v>
      </c>
    </row>
    <row r="52" spans="1:13" x14ac:dyDescent="0.25">
      <c r="C52" s="82">
        <f t="shared" si="6"/>
        <v>196563.95004192035</v>
      </c>
      <c r="D52" s="121">
        <f t="shared" si="7"/>
        <v>0.49839390997003441</v>
      </c>
      <c r="F52" s="82">
        <f t="shared" si="8"/>
        <v>2.4817384761908616E-5</v>
      </c>
      <c r="G52" s="63">
        <f t="shared" si="9"/>
        <v>0.13916875382673813</v>
      </c>
      <c r="H52" s="63">
        <f t="shared" si="10"/>
        <v>0.14051103376759452</v>
      </c>
      <c r="I52" s="41">
        <f>F36-F52</f>
        <v>6.953041622061496E-8</v>
      </c>
      <c r="J52" s="41">
        <f t="shared" si="12"/>
        <v>9.0419187651222065E-8</v>
      </c>
      <c r="K52" s="41">
        <f t="shared" si="13"/>
        <v>1.3422799408563881E-3</v>
      </c>
      <c r="L52" s="83">
        <f t="shared" si="14"/>
        <v>0</v>
      </c>
      <c r="M52" s="103">
        <f t="shared" si="15"/>
        <v>4.979471912768907E-5</v>
      </c>
    </row>
    <row r="53" spans="1:13" x14ac:dyDescent="0.25">
      <c r="C53" s="82">
        <f t="shared" si="6"/>
        <v>196580.44166792344</v>
      </c>
      <c r="D53" s="121">
        <f t="shared" si="7"/>
        <v>0.39978851035753016</v>
      </c>
      <c r="F53" s="82">
        <f t="shared" si="8"/>
        <v>1.9909026801893111E-5</v>
      </c>
      <c r="G53" s="63">
        <f t="shared" si="9"/>
        <v>0.11164409451294288</v>
      </c>
      <c r="H53" s="63">
        <f t="shared" si="10"/>
        <v>0.11165385007894313</v>
      </c>
      <c r="I53" s="41">
        <f t="shared" si="11"/>
        <v>5.0534061026916567E-10</v>
      </c>
      <c r="J53" s="41">
        <f t="shared" si="12"/>
        <v>9.9803379375786936E-6</v>
      </c>
      <c r="K53" s="41">
        <f t="shared" si="13"/>
        <v>9.7555660002408578E-6</v>
      </c>
      <c r="L53" s="83">
        <f t="shared" si="14"/>
        <v>0</v>
      </c>
      <c r="M53" s="103">
        <f t="shared" si="15"/>
        <v>4.9798896881975182E-5</v>
      </c>
    </row>
    <row r="54" spans="1:13" x14ac:dyDescent="0.25">
      <c r="C54" s="82">
        <f t="shared" si="6"/>
        <v>196596.93329392659</v>
      </c>
      <c r="D54" s="121">
        <f t="shared" si="7"/>
        <v>0.29982003128255469</v>
      </c>
      <c r="F54" s="82">
        <f t="shared" si="8"/>
        <v>1.4931959395411273E-5</v>
      </c>
      <c r="G54" s="63">
        <f t="shared" si="9"/>
        <v>8.3734132390951607E-2</v>
      </c>
      <c r="H54" s="63">
        <f t="shared" si="10"/>
        <v>8.3737794757863221E-2</v>
      </c>
      <c r="I54" s="41">
        <f t="shared" si="11"/>
        <v>1.8971146626459948E-10</v>
      </c>
      <c r="J54" s="41">
        <f t="shared" si="12"/>
        <v>1.9938966133972501E-5</v>
      </c>
      <c r="K54" s="41">
        <f t="shared" si="13"/>
        <v>3.6623669116182521E-6</v>
      </c>
      <c r="L54" s="83">
        <f t="shared" si="14"/>
        <v>0</v>
      </c>
      <c r="M54" s="103">
        <f t="shared" si="15"/>
        <v>4.9803074636261314E-5</v>
      </c>
    </row>
    <row r="55" spans="1:13" x14ac:dyDescent="0.25">
      <c r="C55" s="82">
        <f t="shared" si="6"/>
        <v>196613.4249199297</v>
      </c>
      <c r="D55" s="121">
        <f t="shared" si="7"/>
        <v>0.19986410104720786</v>
      </c>
      <c r="F55" s="82">
        <f t="shared" si="8"/>
        <v>9.9546817246681565E-6</v>
      </c>
      <c r="G55" s="63">
        <f t="shared" si="9"/>
        <v>5.5822991167475737E-2</v>
      </c>
      <c r="H55" s="63">
        <f t="shared" si="10"/>
        <v>5.5824619472515616E-2</v>
      </c>
      <c r="I55" s="41">
        <f t="shared" si="11"/>
        <v>8.4346583533676791E-11</v>
      </c>
      <c r="J55" s="41">
        <f t="shared" si="12"/>
        <v>2.9897804594627579E-5</v>
      </c>
      <c r="K55" s="41">
        <f t="shared" si="13"/>
        <v>1.6283050398805845E-6</v>
      </c>
      <c r="L55" s="83">
        <f t="shared" si="14"/>
        <v>0</v>
      </c>
      <c r="M55" s="103">
        <f t="shared" si="15"/>
        <v>4.9807252390547426E-5</v>
      </c>
    </row>
    <row r="56" spans="1:13" x14ac:dyDescent="0.25">
      <c r="C56" s="82">
        <f t="shared" si="6"/>
        <v>196629.91654593282</v>
      </c>
      <c r="D56" s="121">
        <f t="shared" si="7"/>
        <v>9.9923880633979889E-2</v>
      </c>
      <c r="F56" s="82">
        <f t="shared" si="8"/>
        <v>4.9773514000001752E-6</v>
      </c>
      <c r="G56" s="63">
        <f t="shared" si="9"/>
        <v>2.7911554675937672E-2</v>
      </c>
      <c r="H56" s="63">
        <f t="shared" si="10"/>
        <v>2.7912165399532628E-2</v>
      </c>
      <c r="I56" s="41">
        <f t="shared" si="11"/>
        <v>3.1635625669869014E-11</v>
      </c>
      <c r="J56" s="41">
        <f t="shared" si="12"/>
        <v>3.9856695709207534E-5</v>
      </c>
      <c r="K56" s="41">
        <f t="shared" si="13"/>
        <v>6.1072359495694444E-7</v>
      </c>
      <c r="L56" s="83">
        <f t="shared" si="14"/>
        <v>0</v>
      </c>
      <c r="M56" s="103">
        <f t="shared" si="15"/>
        <v>4.9811430144833558E-5</v>
      </c>
    </row>
    <row r="57" spans="1:13" ht="15.75" thickBot="1" x14ac:dyDescent="0.3">
      <c r="C57" s="84">
        <f t="shared" si="6"/>
        <v>196646.40817193597</v>
      </c>
      <c r="D57" s="122">
        <f t="shared" si="7"/>
        <v>0</v>
      </c>
      <c r="F57" s="84">
        <f t="shared" si="8"/>
        <v>0</v>
      </c>
      <c r="G57" s="85">
        <f t="shared" si="9"/>
        <v>0</v>
      </c>
      <c r="H57" s="85">
        <f t="shared" si="10"/>
        <v>0</v>
      </c>
      <c r="I57" s="86">
        <f t="shared" si="11"/>
        <v>0</v>
      </c>
      <c r="J57" s="86">
        <f t="shared" si="12"/>
        <v>4.9815607899119677E-5</v>
      </c>
      <c r="K57" s="86">
        <f t="shared" si="13"/>
        <v>0</v>
      </c>
      <c r="L57" s="87">
        <f t="shared" si="14"/>
        <v>0</v>
      </c>
      <c r="M57" s="103">
        <f t="shared" si="15"/>
        <v>4.9815607899119677E-5</v>
      </c>
    </row>
    <row r="58" spans="1:13" ht="15.75" thickBot="1" x14ac:dyDescent="0.3">
      <c r="A58" t="s">
        <v>60</v>
      </c>
    </row>
    <row r="59" spans="1:13" ht="18" x14ac:dyDescent="0.35">
      <c r="B59" s="66"/>
      <c r="C59" s="116" t="s">
        <v>49</v>
      </c>
      <c r="D59" s="68" t="s">
        <v>37</v>
      </c>
      <c r="E59" s="68" t="s">
        <v>38</v>
      </c>
      <c r="F59" s="69"/>
    </row>
    <row r="60" spans="1:13" ht="18" x14ac:dyDescent="0.35">
      <c r="B60" s="79" t="s">
        <v>14</v>
      </c>
      <c r="C60" s="117" t="s">
        <v>50</v>
      </c>
      <c r="D60" s="114" t="s">
        <v>28</v>
      </c>
      <c r="E60" s="112" t="s">
        <v>24</v>
      </c>
      <c r="F60" s="81" t="s">
        <v>31</v>
      </c>
    </row>
    <row r="61" spans="1:13" x14ac:dyDescent="0.25">
      <c r="B61" s="70">
        <v>0</v>
      </c>
      <c r="C61" s="71">
        <f>F31/J31</f>
        <v>1</v>
      </c>
      <c r="D61" s="73">
        <f>E31</f>
        <v>0.96088039879999998</v>
      </c>
      <c r="E61" s="72">
        <f>H47</f>
        <v>0.96088039880000009</v>
      </c>
      <c r="F61" s="90">
        <f>(D61-E61)^2</f>
        <v>1.2325951644078309E-32</v>
      </c>
    </row>
    <row r="62" spans="1:13" x14ac:dyDescent="0.25">
      <c r="B62" s="70">
        <v>1</v>
      </c>
      <c r="C62" s="71">
        <f t="shared" ref="C62:C71" si="16">F32/J32</f>
        <v>0.89992446505996859</v>
      </c>
      <c r="D62" s="73">
        <f t="shared" ref="D62:D71" si="17">E32</f>
        <v>0.81718230250000001</v>
      </c>
      <c r="E62" s="72">
        <f t="shared" ref="E62:E71" si="18">H48</f>
        <v>0.79655926164096902</v>
      </c>
      <c r="F62" s="90">
        <f t="shared" ref="F62:F71" si="19">(D62-E62)^2</f>
        <v>4.2530981427326184E-4</v>
      </c>
    </row>
    <row r="63" spans="1:13" x14ac:dyDescent="0.25">
      <c r="B63" s="70">
        <v>2</v>
      </c>
      <c r="C63" s="71">
        <f t="shared" si="16"/>
        <v>0.79986572693139779</v>
      </c>
      <c r="D63" s="73">
        <f t="shared" si="17"/>
        <v>0.66084969039999997</v>
      </c>
      <c r="E63" s="72">
        <f t="shared" si="18"/>
        <v>0.63223841410553561</v>
      </c>
      <c r="F63" s="90">
        <f t="shared" si="19"/>
        <v>8.1860513119817833E-4</v>
      </c>
    </row>
    <row r="64" spans="1:13" x14ac:dyDescent="0.25">
      <c r="B64" s="70">
        <v>3</v>
      </c>
      <c r="C64" s="71">
        <f t="shared" si="16"/>
        <v>0.69982378138584345</v>
      </c>
      <c r="D64" s="73">
        <f t="shared" si="17"/>
        <v>0.47609001400000001</v>
      </c>
      <c r="E64" s="72">
        <f t="shared" si="18"/>
        <v>0.46791829106741223</v>
      </c>
      <c r="F64" s="90">
        <f t="shared" si="19"/>
        <v>6.6777055686980974E-5</v>
      </c>
    </row>
    <row r="65" spans="2:13" x14ac:dyDescent="0.25">
      <c r="B65" s="70">
        <v>4</v>
      </c>
      <c r="C65" s="71">
        <f t="shared" si="16"/>
        <v>0.59979862419628061</v>
      </c>
      <c r="D65" s="73">
        <f t="shared" si="17"/>
        <v>0.29211571809999998</v>
      </c>
      <c r="E65" s="72">
        <f t="shared" si="18"/>
        <v>0.30360107029747241</v>
      </c>
      <c r="F65" s="90">
        <f t="shared" si="19"/>
        <v>1.3191331509998481E-4</v>
      </c>
    </row>
    <row r="66" spans="2:13" x14ac:dyDescent="0.25">
      <c r="B66" s="70">
        <v>5</v>
      </c>
      <c r="C66" s="71">
        <f t="shared" si="16"/>
        <v>0.49979025113710307</v>
      </c>
      <c r="D66" s="73">
        <f t="shared" si="17"/>
        <v>0.1407156587</v>
      </c>
      <c r="E66" s="72">
        <f t="shared" si="18"/>
        <v>0.14051103376759452</v>
      </c>
      <c r="F66" s="90">
        <f t="shared" si="19"/>
        <v>4.187136296194429E-8</v>
      </c>
    </row>
    <row r="67" spans="2:13" x14ac:dyDescent="0.25">
      <c r="B67" s="70">
        <v>6</v>
      </c>
      <c r="C67" s="71">
        <f t="shared" si="16"/>
        <v>0.39979865798412251</v>
      </c>
      <c r="D67" s="73">
        <f t="shared" si="17"/>
        <v>0.1009055823</v>
      </c>
      <c r="E67" s="72">
        <f t="shared" si="18"/>
        <v>0.11165385007894313</v>
      </c>
      <c r="F67" s="90">
        <f t="shared" si="19"/>
        <v>1.1552526024786696E-4</v>
      </c>
    </row>
    <row r="68" spans="2:13" x14ac:dyDescent="0.25">
      <c r="B68" s="70">
        <v>7</v>
      </c>
      <c r="C68" s="71">
        <f t="shared" si="16"/>
        <v>0.29982384051456795</v>
      </c>
      <c r="D68" s="73">
        <f t="shared" si="17"/>
        <v>7.5075909499999996E-2</v>
      </c>
      <c r="E68" s="72">
        <f t="shared" si="18"/>
        <v>8.3737794757863221E-2</v>
      </c>
      <c r="F68" s="90">
        <f t="shared" si="19"/>
        <v>7.5028256220388263E-5</v>
      </c>
    </row>
    <row r="69" spans="2:13" x14ac:dyDescent="0.25">
      <c r="B69" s="70">
        <v>8</v>
      </c>
      <c r="C69" s="71">
        <f t="shared" si="16"/>
        <v>0.19986579450708541</v>
      </c>
      <c r="D69" s="73">
        <f t="shared" si="17"/>
        <v>4.9798432740000002E-2</v>
      </c>
      <c r="E69" s="72">
        <f t="shared" si="18"/>
        <v>5.5824619472515616E-2</v>
      </c>
      <c r="F69" s="90">
        <f t="shared" si="19"/>
        <v>3.6314926535147208E-5</v>
      </c>
    </row>
    <row r="70" spans="2:13" x14ac:dyDescent="0.25">
      <c r="B70" s="70">
        <v>9</v>
      </c>
      <c r="C70" s="71">
        <f t="shared" si="16"/>
        <v>9.9924515741736844E-2</v>
      </c>
      <c r="D70" s="73">
        <f t="shared" si="17"/>
        <v>5.1454674450000001E-2</v>
      </c>
      <c r="E70" s="72">
        <f t="shared" si="18"/>
        <v>2.7912165399532628E-2</v>
      </c>
      <c r="F70" s="90">
        <f t="shared" si="19"/>
        <v>5.5424973239133815E-4</v>
      </c>
    </row>
    <row r="71" spans="2:13" ht="15.75" thickBot="1" x14ac:dyDescent="0.3">
      <c r="B71" s="37">
        <v>10</v>
      </c>
      <c r="C71" s="74">
        <f t="shared" si="16"/>
        <v>0</v>
      </c>
      <c r="D71" s="76">
        <f t="shared" si="17"/>
        <v>0</v>
      </c>
      <c r="E71" s="75">
        <f t="shared" si="18"/>
        <v>0</v>
      </c>
      <c r="F71" s="91">
        <f t="shared" si="19"/>
        <v>0</v>
      </c>
    </row>
    <row r="72" spans="2:13" x14ac:dyDescent="0.25">
      <c r="F72" s="65" t="s">
        <v>32</v>
      </c>
      <c r="M72" t="s">
        <v>57</v>
      </c>
    </row>
    <row r="73" spans="2:13" ht="15.75" thickBot="1" x14ac:dyDescent="0.3">
      <c r="F73" s="64">
        <f>SUM(F62:F71)</f>
        <v>2.223765363016108E-3</v>
      </c>
    </row>
    <row r="75" spans="2:13" ht="15.75" thickBot="1" x14ac:dyDescent="0.3"/>
    <row r="76" spans="2:13" ht="18" x14ac:dyDescent="0.35">
      <c r="B76" s="66"/>
      <c r="C76" s="67" t="s">
        <v>27</v>
      </c>
      <c r="D76" s="68" t="s">
        <v>37</v>
      </c>
      <c r="E76" s="68" t="s">
        <v>38</v>
      </c>
      <c r="F76" s="69"/>
    </row>
    <row r="77" spans="2:13" ht="18" x14ac:dyDescent="0.35">
      <c r="B77" s="79" t="s">
        <v>14</v>
      </c>
      <c r="C77" s="77" t="s">
        <v>26</v>
      </c>
      <c r="D77" s="92" t="s">
        <v>36</v>
      </c>
      <c r="E77" s="92" t="s">
        <v>59</v>
      </c>
      <c r="F77" s="80"/>
    </row>
    <row r="78" spans="2:13" x14ac:dyDescent="0.25">
      <c r="B78" s="70">
        <v>0</v>
      </c>
      <c r="C78" s="71">
        <f>C61</f>
        <v>1</v>
      </c>
      <c r="D78" s="73">
        <f>E31-H31-I31</f>
        <v>-1.1102230246251565E-16</v>
      </c>
      <c r="E78" s="118">
        <f>F47*($D$45-$D$24-$D$25)</f>
        <v>0</v>
      </c>
      <c r="F78" s="90">
        <f>(D78-E78)^2</f>
        <v>1.2325951644078309E-32</v>
      </c>
      <c r="G78" s="103"/>
    </row>
    <row r="79" spans="2:13" x14ac:dyDescent="0.25">
      <c r="B79" s="70">
        <v>1</v>
      </c>
      <c r="C79" s="71">
        <f t="shared" ref="C79:C88" si="20">C62</f>
        <v>0.89992446505996859</v>
      </c>
      <c r="D79" s="73">
        <f t="shared" ref="D79:D88" si="21">E32-H32-I32</f>
        <v>-4.7610056420000157E-2</v>
      </c>
      <c r="E79" s="118">
        <f t="shared" ref="E79:E88" si="22">F48*($D$45-$D$24-$D$25)</f>
        <v>-6.823309727903111E-2</v>
      </c>
      <c r="F79" s="90">
        <f t="shared" ref="F79:F88" si="23">(D79-E79)^2</f>
        <v>4.2530981427326016E-4</v>
      </c>
      <c r="G79" s="103"/>
    </row>
    <row r="80" spans="2:13" x14ac:dyDescent="0.25">
      <c r="B80" s="70">
        <v>2</v>
      </c>
      <c r="C80" s="71">
        <f t="shared" si="20"/>
        <v>0.79986572693139779</v>
      </c>
      <c r="D80" s="73">
        <f t="shared" si="21"/>
        <v>-0.10785462863999995</v>
      </c>
      <c r="E80" s="118">
        <f t="shared" si="22"/>
        <v>-0.13646590493446423</v>
      </c>
      <c r="F80" s="90">
        <f t="shared" si="23"/>
        <v>8.1860513119817355E-4</v>
      </c>
      <c r="G80" s="103"/>
    </row>
    <row r="81" spans="1:7" x14ac:dyDescent="0.25">
      <c r="B81" s="70">
        <v>3</v>
      </c>
      <c r="C81" s="71">
        <f t="shared" si="20"/>
        <v>0.69982378138584345</v>
      </c>
      <c r="D81" s="73">
        <f t="shared" si="21"/>
        <v>-0.19652626515999988</v>
      </c>
      <c r="E81" s="118">
        <f t="shared" si="22"/>
        <v>-0.20469798809258766</v>
      </c>
      <c r="F81" s="90">
        <f t="shared" si="23"/>
        <v>6.6777055686980974E-5</v>
      </c>
      <c r="G81" s="103"/>
    </row>
    <row r="82" spans="1:7" x14ac:dyDescent="0.25">
      <c r="B82" s="70">
        <v>4</v>
      </c>
      <c r="C82" s="71">
        <f t="shared" si="20"/>
        <v>0.59979862419628061</v>
      </c>
      <c r="D82" s="73">
        <f t="shared" si="21"/>
        <v>-0.28441252117999999</v>
      </c>
      <c r="E82" s="118">
        <f t="shared" si="22"/>
        <v>-0.27292716898252761</v>
      </c>
      <c r="F82" s="90">
        <f t="shared" si="23"/>
        <v>1.3191331509998354E-4</v>
      </c>
      <c r="G82" s="103"/>
    </row>
    <row r="83" spans="1:7" x14ac:dyDescent="0.25">
      <c r="B83" s="70">
        <v>5</v>
      </c>
      <c r="C83" s="71">
        <f t="shared" si="20"/>
        <v>0.49979025113710307</v>
      </c>
      <c r="D83" s="73">
        <f t="shared" si="21"/>
        <v>-0.33972454070000002</v>
      </c>
      <c r="E83" s="118">
        <f t="shared" si="22"/>
        <v>-0.33992916563240549</v>
      </c>
      <c r="F83" s="90">
        <f t="shared" si="23"/>
        <v>4.187136296194429E-8</v>
      </c>
      <c r="G83" s="103"/>
    </row>
    <row r="84" spans="1:7" x14ac:dyDescent="0.25">
      <c r="B84" s="70">
        <v>6</v>
      </c>
      <c r="C84" s="71">
        <f t="shared" si="20"/>
        <v>0.39979865798412251</v>
      </c>
      <c r="D84" s="73">
        <f t="shared" si="21"/>
        <v>-0.28344657721999994</v>
      </c>
      <c r="E84" s="118">
        <f t="shared" si="22"/>
        <v>-0.27269830944105683</v>
      </c>
      <c r="F84" s="90">
        <f t="shared" si="23"/>
        <v>1.1552526024786666E-4</v>
      </c>
      <c r="G84" s="103"/>
    </row>
    <row r="85" spans="1:7" x14ac:dyDescent="0.25">
      <c r="B85" s="70">
        <v>7</v>
      </c>
      <c r="C85" s="71">
        <f t="shared" si="20"/>
        <v>0.29982384051456795</v>
      </c>
      <c r="D85" s="73">
        <f t="shared" si="21"/>
        <v>-0.21318821014</v>
      </c>
      <c r="E85" s="118">
        <f t="shared" si="22"/>
        <v>-0.20452632488213676</v>
      </c>
      <c r="F85" s="90">
        <f t="shared" si="23"/>
        <v>7.5028256220388507E-5</v>
      </c>
      <c r="G85" s="103"/>
    </row>
    <row r="86" spans="1:7" x14ac:dyDescent="0.25">
      <c r="B86" s="70">
        <v>8</v>
      </c>
      <c r="C86" s="71">
        <f t="shared" si="20"/>
        <v>0.19986579450708541</v>
      </c>
      <c r="D86" s="73">
        <f t="shared" si="21"/>
        <v>-0.14237764701999997</v>
      </c>
      <c r="E86" s="118">
        <f t="shared" si="22"/>
        <v>-0.13635146028748435</v>
      </c>
      <c r="F86" s="90">
        <f t="shared" si="23"/>
        <v>3.6314926535147289E-5</v>
      </c>
      <c r="G86" s="103"/>
    </row>
    <row r="87" spans="1:7" x14ac:dyDescent="0.25">
      <c r="B87" s="70">
        <v>9</v>
      </c>
      <c r="C87" s="71">
        <f t="shared" si="20"/>
        <v>9.9924515741736844E-2</v>
      </c>
      <c r="D87" s="73">
        <f t="shared" si="21"/>
        <v>-4.4633365429999988E-2</v>
      </c>
      <c r="E87" s="118">
        <f t="shared" si="22"/>
        <v>-6.8175874480467358E-2</v>
      </c>
      <c r="F87" s="90">
        <f t="shared" si="23"/>
        <v>5.5424973239133805E-4</v>
      </c>
      <c r="G87" s="103"/>
    </row>
    <row r="88" spans="1:7" ht="15.75" thickBot="1" x14ac:dyDescent="0.3">
      <c r="B88" s="37">
        <v>10</v>
      </c>
      <c r="C88" s="74">
        <f t="shared" si="20"/>
        <v>0</v>
      </c>
      <c r="D88" s="76">
        <f t="shared" si="21"/>
        <v>0</v>
      </c>
      <c r="E88" s="120">
        <f t="shared" si="22"/>
        <v>0</v>
      </c>
      <c r="F88" s="91">
        <f t="shared" si="23"/>
        <v>0</v>
      </c>
      <c r="G88" s="103"/>
    </row>
    <row r="89" spans="1:7" x14ac:dyDescent="0.25">
      <c r="D89" s="36"/>
      <c r="F89" s="65" t="s">
        <v>32</v>
      </c>
    </row>
    <row r="90" spans="1:7" ht="15.75" thickBot="1" x14ac:dyDescent="0.3">
      <c r="F90" s="64">
        <f>SUM(F78:F88)</f>
        <v>2.2237653630161006E-3</v>
      </c>
    </row>
    <row r="95" spans="1:7" x14ac:dyDescent="0.25">
      <c r="A95" t="s">
        <v>61</v>
      </c>
      <c r="E95" t="s">
        <v>42</v>
      </c>
    </row>
    <row r="96" spans="1:7" x14ac:dyDescent="0.25">
      <c r="E96" t="s">
        <v>43</v>
      </c>
    </row>
  </sheetData>
  <mergeCells count="3">
    <mergeCell ref="E5:F5"/>
    <mergeCell ref="C29:D29"/>
    <mergeCell ref="F29:J29"/>
  </mergeCell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Button 1">
              <controlPr defaultSize="0" print="0" autoFill="0" autoPict="0" macro="[0]!Ajuste" altText="Solver">
                <anchor moveWithCells="1" sizeWithCells="1">
                  <from>
                    <xdr:col>6</xdr:col>
                    <xdr:colOff>104775</xdr:colOff>
                    <xdr:row>87</xdr:row>
                    <xdr:rowOff>76200</xdr:rowOff>
                  </from>
                  <to>
                    <xdr:col>6</xdr:col>
                    <xdr:colOff>828675</xdr:colOff>
                    <xdr:row>90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Button 2">
              <controlPr defaultSize="0" print="0" autoFill="0" autoPict="0" macro="[0]!Solver1">
                <anchor moveWithCells="1" sizeWithCells="1">
                  <from>
                    <xdr:col>6</xdr:col>
                    <xdr:colOff>104775</xdr:colOff>
                    <xdr:row>70</xdr:row>
                    <xdr:rowOff>66675</xdr:rowOff>
                  </from>
                  <to>
                    <xdr:col>6</xdr:col>
                    <xdr:colOff>790575</xdr:colOff>
                    <xdr:row>73</xdr:row>
                    <xdr:rowOff>104775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/>
  <dimension ref="A1"/>
  <sheetViews>
    <sheetView topLeftCell="A53" workbookViewId="0">
      <selection activeCell="J27" sqref="J27"/>
    </sheetView>
  </sheetViews>
  <sheetFormatPr baseColWidth="10" defaultRowHeight="15" x14ac:dyDescent="0.25"/>
  <sheetData/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2078" r:id="rId4">
          <objectPr defaultSize="0" r:id="rId5">
            <anchor moveWithCells="1">
              <from>
                <xdr:col>1</xdr:col>
                <xdr:colOff>0</xdr:colOff>
                <xdr:row>1</xdr:row>
                <xdr:rowOff>0</xdr:rowOff>
              </from>
              <to>
                <xdr:col>8</xdr:col>
                <xdr:colOff>57150</xdr:colOff>
                <xdr:row>47</xdr:row>
                <xdr:rowOff>171450</xdr:rowOff>
              </to>
            </anchor>
          </objectPr>
        </oleObject>
      </mc:Choice>
      <mc:Fallback>
        <oleObject progId="Word.Document.12" shapeId="2078" r:id="rId4"/>
      </mc:Fallback>
    </mc:AlternateContent>
    <mc:AlternateContent xmlns:mc="http://schemas.openxmlformats.org/markup-compatibility/2006">
      <mc:Choice Requires="x14">
        <oleObject progId="Word.Document.12" shapeId="2079" r:id="rId6">
          <objectPr defaultSize="0" r:id="rId7">
            <anchor moveWithCells="1">
              <from>
                <xdr:col>1</xdr:col>
                <xdr:colOff>0</xdr:colOff>
                <xdr:row>48</xdr:row>
                <xdr:rowOff>0</xdr:rowOff>
              </from>
              <to>
                <xdr:col>8</xdr:col>
                <xdr:colOff>57150</xdr:colOff>
                <xdr:row>73</xdr:row>
                <xdr:rowOff>104775</xdr:rowOff>
              </to>
            </anchor>
          </objectPr>
        </oleObject>
      </mc:Choice>
      <mc:Fallback>
        <oleObject progId="Word.Document.12" shapeId="2079" r:id="rId6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Job's Plot FLUO 250</vt:lpstr>
      <vt:lpstr>Job's Plot ABS</vt:lpstr>
      <vt:lpstr>Explanation</vt:lpstr>
      <vt:lpstr>Explanation!OLE_LINK2</vt:lpstr>
    </vt:vector>
  </TitlesOfParts>
  <Company>UPV/EHU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ZORAIDA FREIXA</dc:creator>
  <cp:lastModifiedBy>ZORAIDA FREIXA</cp:lastModifiedBy>
  <dcterms:created xsi:type="dcterms:W3CDTF">2021-12-31T10:41:15Z</dcterms:created>
  <dcterms:modified xsi:type="dcterms:W3CDTF">2022-08-16T10:47:58Z</dcterms:modified>
</cp:coreProperties>
</file>